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7_6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8_4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  <Override PartName="/xl/embeddings/oleObject_9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60" windowWidth="15480" windowHeight="5490" activeTab="1"/>
  </bookViews>
  <sheets>
    <sheet name="6-8.5 GHz" sheetId="1" r:id="rId1"/>
    <sheet name="24.05-26.5 GHz" sheetId="2" r:id="rId2"/>
    <sheet name="57-64 GHz" sheetId="3" r:id="rId3"/>
    <sheet name="75 GHz" sheetId="4" r:id="rId4"/>
    <sheet name="LPR link budget 60&amp;80 GHz bands" sheetId="5" r:id="rId5"/>
    <sheet name="EESS(N) 24 GHz" sheetId="6" r:id="rId6"/>
    <sheet name="EESS(C) 24 GHz" sheetId="7" r:id="rId7"/>
    <sheet name="EESS(N) 57 GHz" sheetId="8" r:id="rId8"/>
    <sheet name="EESS(C) 86 GHz" sheetId="9" r:id="rId9"/>
    <sheet name="EESS(N) 86 GHz" sheetId="10" r:id="rId10"/>
    <sheet name="Mil FSS" sheetId="11" r:id="rId11"/>
  </sheets>
  <definedNames/>
  <calcPr fullCalcOnLoad="1"/>
</workbook>
</file>

<file path=xl/sharedStrings.xml><?xml version="1.0" encoding="utf-8"?>
<sst xmlns="http://schemas.openxmlformats.org/spreadsheetml/2006/main" count="553" uniqueCount="167">
  <si>
    <t>I/N objective, dB</t>
  </si>
  <si>
    <t>Operating frequency, MHz</t>
  </si>
  <si>
    <t>Victim:</t>
  </si>
  <si>
    <t>PP FS receiver</t>
  </si>
  <si>
    <t>Receiver noise figure, dB:</t>
  </si>
  <si>
    <t>Bandwidth (IF), MHz:</t>
  </si>
  <si>
    <t>Ga (in the direction of Interferer), dBi:</t>
  </si>
  <si>
    <t>Pulse Repetition Frequency, MHz:</t>
  </si>
  <si>
    <t>Reference bandwidth, MHz:</t>
  </si>
  <si>
    <t>System noise temperature, degK</t>
  </si>
  <si>
    <t>Impact range calculation:</t>
  </si>
  <si>
    <t>Impact range with FSL model, km</t>
  </si>
  <si>
    <t>Feeder (insertion) loss, dB:</t>
  </si>
  <si>
    <t>Mean EIRP limit (ref. TR 102 601), dBm:</t>
  </si>
  <si>
    <t>Receiver thermal noise, dBm:</t>
  </si>
  <si>
    <t>Minimum Coupling Loss balance, dB:</t>
  </si>
  <si>
    <t>FSS ES Rx</t>
  </si>
  <si>
    <t>Conditional BW Correction Factor, dB:</t>
  </si>
  <si>
    <t>Interference threshold at receiver input, dBm:</t>
  </si>
  <si>
    <t>Interference threshold before antenna, dBm:</t>
  </si>
  <si>
    <t>RA station</t>
  </si>
  <si>
    <t>Reflection loss, dB</t>
  </si>
  <si>
    <t>N/A</t>
  </si>
  <si>
    <t>LPR Interferer:</t>
  </si>
  <si>
    <t>PMP BS Rx</t>
  </si>
  <si>
    <t>PMP TS Rx</t>
  </si>
  <si>
    <t>Parameter</t>
  </si>
  <si>
    <t>Units</t>
  </si>
  <si>
    <t>EOS AMSR-E</t>
  </si>
  <si>
    <t>CMIS</t>
  </si>
  <si>
    <t>dBm/MHz</t>
  </si>
  <si>
    <t>dB</t>
  </si>
  <si>
    <t>dBW/MHz</t>
  </si>
  <si>
    <t>km</t>
  </si>
  <si>
    <t>EESS antenna gain in dBi</t>
  </si>
  <si>
    <t>dBi</t>
  </si>
  <si>
    <t>Atmospherical loss (ITU-R P.676)</t>
  </si>
  <si>
    <t>Pixel surface</t>
  </si>
  <si>
    <t>km²</t>
  </si>
  <si>
    <t>Total number of LPR within an EESS pixel</t>
  </si>
  <si>
    <t>GHz</t>
  </si>
  <si>
    <t>Push-Broom</t>
  </si>
  <si>
    <t>AMSU-A</t>
  </si>
  <si>
    <t>ATMS</t>
  </si>
  <si>
    <t>DeltaGa (first side-lobe, offset angle 20-30 deg), dB:</t>
  </si>
  <si>
    <t>Operating frequency, GHz</t>
  </si>
  <si>
    <t>Oxygen absorption, dB/km</t>
  </si>
  <si>
    <t>Impact range adjusted for oxygen absorption, km</t>
  </si>
  <si>
    <t>Balance check, dB (should be near zero):</t>
  </si>
  <si>
    <t>PP FLANE Rx</t>
  </si>
  <si>
    <t>Radar Rx</t>
  </si>
  <si>
    <t>ITS RSU Rx</t>
  </si>
  <si>
    <t>Victim :</t>
  </si>
  <si>
    <t>Antenna main-lobe gain, dBi</t>
  </si>
  <si>
    <t>Antenna side-lobe gain &gt;60 deg, dBi:</t>
  </si>
  <si>
    <t>Reflected EIRP in the direction of Victim, dBm:</t>
  </si>
  <si>
    <t>Side-lobe EIRP in the direction of Victim, dBm:</t>
  </si>
  <si>
    <t>Total interfering power towards Victim, dBm:</t>
  </si>
  <si>
    <t>(based on methodology described in § 6.3.3.2 of ECC report 64).</t>
  </si>
  <si>
    <t>Compatibility analysis between LPR at 24 GHz and conical scan sensors</t>
  </si>
  <si>
    <t>MEGHA TROPIC</t>
  </si>
  <si>
    <t>Frequency</t>
  </si>
  <si>
    <t>Wavelength</t>
  </si>
  <si>
    <t>m</t>
  </si>
  <si>
    <t>LPR eirp  (main beam)</t>
  </si>
  <si>
    <t>Direct eirp sent to the tank</t>
  </si>
  <si>
    <t>Gain of the transmit LPR antenna, main beam</t>
  </si>
  <si>
    <t>LPR power spectral density</t>
  </si>
  <si>
    <t>Gain of the transmit LPR antenna side lobe</t>
  </si>
  <si>
    <t>Direct eirp component sent to the satellite</t>
  </si>
  <si>
    <t xml:space="preserve">Additional losses for the scattered component </t>
  </si>
  <si>
    <t>Dielectric reflection factor</t>
  </si>
  <si>
    <t>Distance LPR - EESS sensor in km</t>
  </si>
  <si>
    <t>Space attenuation in dB</t>
  </si>
  <si>
    <t xml:space="preserve">Scattered eirp component received at the antenna port of the satellite </t>
  </si>
  <si>
    <t>Direct eirp received at the satellite antenna port</t>
  </si>
  <si>
    <t>Total eirp received at the antenna port of the satellite</t>
  </si>
  <si>
    <t>Received power at the EESS sensor in a 1 MHz bandwidth</t>
  </si>
  <si>
    <t>dBW</t>
  </si>
  <si>
    <t>Corresponding received power at the EESS in a bandwidth of 200 MHz for one single LPR</t>
  </si>
  <si>
    <t>EESS interference threshold in a reference bandwidth of 200 MHz: application of revised ITU-R SA 1029-1</t>
  </si>
  <si>
    <t>EESS interference threshold in a reference bandwidth of 200 MHz: application of ITU-R SA 1029-2 with 1% apportionment</t>
  </si>
  <si>
    <t>(number)</t>
  </si>
  <si>
    <t>Percentage of indoor LPR</t>
  </si>
  <si>
    <t>%</t>
  </si>
  <si>
    <t>Attenuation indoor/outdoor</t>
  </si>
  <si>
    <t>Corresponding total number of outdoor active (100% of the time) LPR devices within an EESS pixel</t>
  </si>
  <si>
    <t>Corresponding received power at the EESS in a bandwidth of 200 MHz for active LPR within an EESS pixel</t>
  </si>
  <si>
    <t>Margin with ref. to RS 1029-2 with 1% apportionment</t>
  </si>
  <si>
    <r>
      <t>Maximum expected LPR density per km</t>
    </r>
    <r>
      <rPr>
        <vertAlign val="superscript"/>
        <sz val="10"/>
        <rFont val="Arial"/>
        <family val="2"/>
      </rPr>
      <t>2</t>
    </r>
  </si>
  <si>
    <t>Victim EESS system:</t>
  </si>
  <si>
    <t>Compatibility analysis between LPR at 24 GHz and nadir sensors</t>
  </si>
  <si>
    <t>LPR EIRP OOB (main beam)</t>
  </si>
  <si>
    <t>Compatibility analysis between LPR at 57 GHz and nadir sensors</t>
  </si>
  <si>
    <t>Corresponding received power at the EESS in a bandwidth of 100 MHz for one single LPR</t>
  </si>
  <si>
    <t>EESS interference threshold in a reference bandwidth of 100 MHz: application of revised ITU-R SA 1029-1</t>
  </si>
  <si>
    <t>EESS interference threshold in a reference bandwidth of 100 MHz: application of ITU-R SA 1029-2 with 5% apportionment</t>
  </si>
  <si>
    <t>Corresponding received power at the EESS in a bandwidth of 100 MHz for active LPR within an EESS pixel</t>
  </si>
  <si>
    <t>Margin with ref. to RS 1029-2 with 5% apportionment</t>
  </si>
  <si>
    <t>LPR EIRP (main beam)</t>
  </si>
  <si>
    <t>Compatibility analysis between LPR at 86 GHz and conical scan sensors</t>
  </si>
  <si>
    <t>EESS interference threshold in a reference bandwidth of 100 MHz: application of ITU-R SA 1029-2 with 1% apportionment</t>
  </si>
  <si>
    <t>LPR EIRP OOB  (main beam)</t>
  </si>
  <si>
    <t>Compatibility analysis between LPR at 86 GHz and nadir sensors</t>
  </si>
  <si>
    <t>AMSU-B</t>
  </si>
  <si>
    <t>LPR EIRP  (main beam)</t>
  </si>
  <si>
    <t>Peak, dBm/50 MHz</t>
  </si>
  <si>
    <t>Mean, dBm/MHz</t>
  </si>
  <si>
    <t>Max limit: -55 dBm/MHz</t>
  </si>
  <si>
    <t>RAS in Unwanted domain</t>
  </si>
  <si>
    <t>Max limit: -41.3 dBm/MHz</t>
  </si>
  <si>
    <t>Horizontal power density check, dBm/MHz:</t>
  </si>
  <si>
    <t>Unit</t>
  </si>
  <si>
    <t>Syracuse 1</t>
  </si>
  <si>
    <t>Syracuse 2</t>
  </si>
  <si>
    <t>Ruche</t>
  </si>
  <si>
    <t>Spot</t>
  </si>
  <si>
    <t>CSK</t>
  </si>
  <si>
    <t>SPIRALE</t>
  </si>
  <si>
    <t>Operating frequency</t>
  </si>
  <si>
    <t>MHz </t>
  </si>
  <si>
    <t>Bandwidth (IF)</t>
  </si>
  <si>
    <t>MHz  </t>
  </si>
  <si>
    <t>dBi </t>
  </si>
  <si>
    <t>C/I protection criterion</t>
  </si>
  <si>
    <t>C</t>
  </si>
  <si>
    <t>Max interference level at receiver input</t>
  </si>
  <si>
    <t>dBm</t>
  </si>
  <si>
    <t>Feeder (insertion) loss</t>
  </si>
  <si>
    <t>dB </t>
  </si>
  <si>
    <t xml:space="preserve">Mainbeam mean EIRP limit </t>
  </si>
  <si>
    <t>Reference bandwidth</t>
  </si>
  <si>
    <t>MHz</t>
  </si>
  <si>
    <t>DeltaGa (first side-lobe, offset angle 20-30°)</t>
  </si>
  <si>
    <t>Reflection loss</t>
  </si>
  <si>
    <t>Calculation of interference range for a single LPR emitter based on I/N criteria</t>
  </si>
  <si>
    <t>Propagation attenuation loss 36000 km</t>
  </si>
  <si>
    <t>Ga main beam</t>
  </si>
  <si>
    <t>Calculation of maximum LPR interference range to military FSS stations in 6 GHz range</t>
  </si>
  <si>
    <t>Satellite EIRP</t>
  </si>
  <si>
    <t xml:space="preserve">EIRP towards the victim, reflection component </t>
  </si>
  <si>
    <t xml:space="preserve">EIRP towards the victim, sidelobe component </t>
  </si>
  <si>
    <t>Total interfering power towards Victim</t>
  </si>
  <si>
    <t>Antenna input power level</t>
  </si>
  <si>
    <t xml:space="preserve">Ga side lobes (&gt;60°) gain </t>
  </si>
  <si>
    <t>Ga (in the direction of Interferer) (10° offset for GEO, 5° offset for LEO stations)</t>
  </si>
  <si>
    <t>PP FS (civil)</t>
  </si>
  <si>
    <t>PP FS (military)</t>
  </si>
  <si>
    <t>Ga (sidelobes), dBi</t>
  </si>
  <si>
    <t>RAS</t>
  </si>
  <si>
    <t>Impact range calculation (in PP FS side-lobes):</t>
  </si>
  <si>
    <t>Interference threshold PP FS side-lobes, dBm:</t>
  </si>
  <si>
    <t>RAS SLO</t>
  </si>
  <si>
    <t>RAS CO adjacent</t>
  </si>
  <si>
    <t>* RAS CO in unwanted domain</t>
  </si>
  <si>
    <t>F, GHz</t>
  </si>
  <si>
    <t>Ptx, EIRP (original TR 102 601 value ), dBm/MHz</t>
  </si>
  <si>
    <t>Ga, dBi</t>
  </si>
  <si>
    <t>Antenna contamination loss, dB</t>
  </si>
  <si>
    <t>Radar range: h, m</t>
  </si>
  <si>
    <t>Wave length, m</t>
  </si>
  <si>
    <t>Received power at receiver input, "calm surface" formula, dBm/MHz:</t>
  </si>
  <si>
    <t>Compares with:</t>
  </si>
  <si>
    <t>LPR receiver noise floor, dBm/MHz</t>
  </si>
  <si>
    <t>RX sensitivity (S/Nmin=15 dB), dBm/MHz</t>
  </si>
  <si>
    <t>Margin (calm surface), dB:</t>
  </si>
  <si>
    <t>Mean EIRP limit (TR 102 601 limit increased by 14 dB), dBm: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</si>
</sst>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Lt&quot;;\-#,##0\ &quot;Lt&quot;"/>
    <numFmt numFmtId="179" formatCode="#,##0\ &quot;Lt&quot;;[Red]\-#,##0\ &quot;Lt&quot;"/>
    <numFmt numFmtId="180" formatCode="#,##0.00\ &quot;Lt&quot;;\-#,##0.00\ &quot;Lt&quot;"/>
    <numFmt numFmtId="181" formatCode="#,##0.00\ &quot;Lt&quot;;[Red]\-#,##0.00\ &quot;Lt&quot;"/>
    <numFmt numFmtId="182" formatCode="_-* #,##0\ &quot;Lt&quot;_-;\-* #,##0\ &quot;Lt&quot;_-;_-* &quot;-&quot;\ &quot;Lt&quot;_-;_-@_-"/>
    <numFmt numFmtId="183" formatCode="_-* #,##0\ _L_t_-;\-* #,##0\ _L_t_-;_-* &quot;-&quot;\ _L_t_-;_-@_-"/>
    <numFmt numFmtId="184" formatCode="_-* #,##0.00\ &quot;Lt&quot;_-;\-* #,##0.00\ &quot;Lt&quot;_-;_-* &quot;-&quot;??\ &quot;Lt&quot;_-;_-@_-"/>
    <numFmt numFmtId="185" formatCode="_-* #,##0.00\ _L_t_-;\-* #,##0.00\ _L_t_-;_-* &quot;-&quot;??\ _L_t_-;_-@_-"/>
    <numFmt numFmtId="186" formatCode="0.00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 horizontal="center"/>
    </xf>
    <xf numFmtId="0" fontId="0" fillId="2" borderId="0" xfId="0" applyNumberFormat="1" applyFill="1" applyAlignment="1">
      <alignment/>
    </xf>
    <xf numFmtId="18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right"/>
    </xf>
    <xf numFmtId="2" fontId="1" fillId="0" borderId="0" xfId="0" applyNumberFormat="1" applyFont="1" applyAlignment="1">
      <alignment horizontal="right"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86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center" vertical="top" wrapText="1"/>
    </xf>
    <xf numFmtId="192" fontId="0" fillId="2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top" wrapText="1"/>
    </xf>
    <xf numFmtId="187" fontId="1" fillId="0" borderId="0" xfId="0" applyNumberFormat="1" applyFont="1" applyAlignment="1">
      <alignment horizontal="left"/>
    </xf>
    <xf numFmtId="187" fontId="1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87" fontId="0" fillId="0" borderId="1" xfId="0" applyNumberFormat="1" applyFont="1" applyBorder="1" applyAlignment="1">
      <alignment horizontal="left" vertical="top" wrapText="1"/>
    </xf>
    <xf numFmtId="187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2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2" fontId="0" fillId="0" borderId="1" xfId="0" applyNumberFormat="1" applyFont="1" applyFill="1" applyBorder="1" applyAlignment="1">
      <alignment horizontal="center" vertical="top" wrapText="1"/>
    </xf>
    <xf numFmtId="187" fontId="1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1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3" borderId="0" xfId="0" applyFont="1" applyFill="1" applyAlignment="1">
      <alignment horizontal="right"/>
    </xf>
    <xf numFmtId="2" fontId="6" fillId="3" borderId="0" xfId="0" applyNumberFormat="1" applyFont="1" applyFill="1" applyAlignment="1">
      <alignment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right"/>
    </xf>
    <xf numFmtId="2" fontId="1" fillId="5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image" Target="../media/image2.wmf" /><Relationship Id="rId5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image" Target="../media/image2.wmf" /><Relationship Id="rId5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2.wmf" /><Relationship Id="rId7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image" Target="../media/image2.wmf" /><Relationship Id="rId5" Type="http://schemas.openxmlformats.org/officeDocument/2006/relationships/image" Target="../media/image1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2.wmf" /><Relationship Id="rId7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oleObject" Target="../embeddings/oleObject_9_6.bin" /><Relationship Id="rId8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oleObject" Target="../embeddings/oleObject_7_6.bin" /><Relationship Id="rId8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oleObject" Target="../embeddings/oleObject_8_4.bin" /><Relationship Id="rId6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6" sqref="A36"/>
    </sheetView>
  </sheetViews>
  <sheetFormatPr defaultColWidth="9.140625" defaultRowHeight="12.75"/>
  <cols>
    <col min="1" max="1" width="45.7109375" style="0" customWidth="1"/>
    <col min="2" max="4" width="14.7109375" style="0" customWidth="1"/>
    <col min="5" max="5" width="24.00390625" style="0" customWidth="1"/>
  </cols>
  <sheetData>
    <row r="1" ht="12.75">
      <c r="A1" s="1" t="s">
        <v>135</v>
      </c>
    </row>
    <row r="2" ht="12.75">
      <c r="A2" t="s">
        <v>58</v>
      </c>
    </row>
    <row r="4" spans="1:4" ht="12.75">
      <c r="A4" s="5" t="s">
        <v>52</v>
      </c>
      <c r="B4" s="11" t="s">
        <v>3</v>
      </c>
      <c r="C4" s="7" t="s">
        <v>16</v>
      </c>
      <c r="D4" s="7" t="s">
        <v>20</v>
      </c>
    </row>
    <row r="5" spans="1:4" ht="12.75">
      <c r="A5" s="2" t="s">
        <v>1</v>
      </c>
      <c r="B5" s="6">
        <v>7000</v>
      </c>
      <c r="C5" s="6">
        <v>7500</v>
      </c>
      <c r="D5" s="6">
        <v>6650</v>
      </c>
    </row>
    <row r="6" spans="1:4" ht="12.75">
      <c r="A6" t="s">
        <v>5</v>
      </c>
      <c r="B6" s="6">
        <v>40</v>
      </c>
      <c r="C6" s="6">
        <v>72</v>
      </c>
      <c r="D6" s="6">
        <v>0.05</v>
      </c>
    </row>
    <row r="7" spans="1:4" ht="12.75">
      <c r="A7" t="s">
        <v>9</v>
      </c>
      <c r="B7" s="6"/>
      <c r="C7" s="6">
        <v>100</v>
      </c>
      <c r="D7" s="13" t="s">
        <v>22</v>
      </c>
    </row>
    <row r="8" spans="1:4" ht="12.75">
      <c r="A8" t="s">
        <v>4</v>
      </c>
      <c r="B8" s="6">
        <v>4</v>
      </c>
      <c r="C8" s="6"/>
      <c r="D8" s="6"/>
    </row>
    <row r="9" spans="1:4" ht="12.75">
      <c r="A9" t="s">
        <v>0</v>
      </c>
      <c r="B9" s="6">
        <v>-20</v>
      </c>
      <c r="C9" s="6">
        <v>-20</v>
      </c>
      <c r="D9" s="13" t="s">
        <v>22</v>
      </c>
    </row>
    <row r="10" spans="1:4" ht="12.75">
      <c r="A10" t="s">
        <v>6</v>
      </c>
      <c r="B10" s="8">
        <v>41</v>
      </c>
      <c r="C10" s="6">
        <v>0</v>
      </c>
      <c r="D10" s="6">
        <v>0</v>
      </c>
    </row>
    <row r="11" spans="1:4" ht="12.75">
      <c r="A11" s="2" t="s">
        <v>12</v>
      </c>
      <c r="B11" s="8">
        <v>3</v>
      </c>
      <c r="C11" s="6">
        <v>0</v>
      </c>
      <c r="D11" s="6">
        <v>0</v>
      </c>
    </row>
    <row r="12" spans="1:4" ht="12.75">
      <c r="A12" s="10" t="s">
        <v>14</v>
      </c>
      <c r="B12" s="4">
        <f>IF(B7&gt;0,-198.6+10*LOG10(B7)+10*LOG10(B6)+60,10*LOG10(1.38*1E-23*300*B6*1000000)+B8+30)</f>
        <v>-93.80939667551138</v>
      </c>
      <c r="C12" s="4">
        <f>IF(C7&gt;0,-198.6+10*LOG10(C7)+10*LOG10(C6)+60,10*LOG10(1.38*1E-23*300*C6*1000000)+C8+30)</f>
        <v>-100.0266750356873</v>
      </c>
      <c r="D12" s="14" t="s">
        <v>22</v>
      </c>
    </row>
    <row r="13" spans="1:4" ht="12.75">
      <c r="A13" s="10" t="s">
        <v>18</v>
      </c>
      <c r="B13" s="4">
        <f>B9+B12</f>
        <v>-113.80939667551138</v>
      </c>
      <c r="C13" s="4">
        <f>C9+C12</f>
        <v>-120.0266750356873</v>
      </c>
      <c r="D13" s="14" t="s">
        <v>22</v>
      </c>
    </row>
    <row r="14" spans="1:4" ht="12.75">
      <c r="A14" s="10" t="s">
        <v>19</v>
      </c>
      <c r="B14" s="4">
        <f>B13-B10+B11</f>
        <v>-151.80939667551138</v>
      </c>
      <c r="C14" s="4">
        <f>C13-C10+C11</f>
        <v>-120.0266750356873</v>
      </c>
      <c r="D14" s="4">
        <v>-177.9</v>
      </c>
    </row>
    <row r="16" spans="1:2" ht="12.75">
      <c r="A16" s="5" t="s">
        <v>23</v>
      </c>
      <c r="B16" s="3"/>
    </row>
    <row r="17" spans="1:4" ht="12.75">
      <c r="A17" t="s">
        <v>13</v>
      </c>
      <c r="B17" s="6">
        <v>1</v>
      </c>
      <c r="C17" s="6">
        <v>1</v>
      </c>
      <c r="D17" s="6">
        <v>1</v>
      </c>
    </row>
    <row r="18" spans="1:4" ht="12.75">
      <c r="A18" s="18" t="s">
        <v>107</v>
      </c>
      <c r="B18" s="44">
        <f>B17-10*LOG10(B25)</f>
        <v>-32.979400086720375</v>
      </c>
      <c r="C18" s="44">
        <f>C17-10*LOG10(C25)</f>
        <v>-32.979400086720375</v>
      </c>
      <c r="D18" s="44">
        <f>D17-10*LOG10(D25)</f>
        <v>-32.979400086720375</v>
      </c>
    </row>
    <row r="19" spans="1:5" ht="12.75">
      <c r="A19" s="18" t="s">
        <v>106</v>
      </c>
      <c r="B19" s="44">
        <f>B17+23-10*LOG10(B25/50)</f>
        <v>7.0102999566398125</v>
      </c>
      <c r="C19" s="44">
        <f>C17+23-10*LOG10(C25/50)</f>
        <v>7.0102999566398125</v>
      </c>
      <c r="D19" s="44">
        <f>D17+23-10*LOG10(D25/50)</f>
        <v>7.0102999566398125</v>
      </c>
      <c r="E19" s="2"/>
    </row>
    <row r="20" spans="1:4" ht="12.75">
      <c r="A20" t="s">
        <v>53</v>
      </c>
      <c r="B20" s="6">
        <v>18</v>
      </c>
      <c r="C20" s="6">
        <v>18</v>
      </c>
      <c r="D20" s="6">
        <v>18</v>
      </c>
    </row>
    <row r="21" spans="1:4" ht="12.75">
      <c r="A21" t="s">
        <v>44</v>
      </c>
      <c r="B21" s="6">
        <v>-15.7</v>
      </c>
      <c r="C21" s="6">
        <v>-15.7</v>
      </c>
      <c r="D21" s="6">
        <v>-15.7</v>
      </c>
    </row>
    <row r="22" spans="1:4" ht="12.75">
      <c r="A22" t="s">
        <v>54</v>
      </c>
      <c r="B22" s="6">
        <v>-10</v>
      </c>
      <c r="C22" s="6">
        <v>-10</v>
      </c>
      <c r="D22" s="6">
        <v>-10</v>
      </c>
    </row>
    <row r="23" spans="1:4" ht="12.75">
      <c r="A23" t="s">
        <v>21</v>
      </c>
      <c r="B23" s="6">
        <v>13</v>
      </c>
      <c r="C23" s="6">
        <v>13</v>
      </c>
      <c r="D23" s="6">
        <v>13</v>
      </c>
    </row>
    <row r="24" spans="1:4" ht="12.75">
      <c r="A24" t="s">
        <v>7</v>
      </c>
      <c r="B24" s="6">
        <v>1</v>
      </c>
      <c r="C24" s="6">
        <v>1</v>
      </c>
      <c r="D24" s="6">
        <v>1</v>
      </c>
    </row>
    <row r="25" spans="1:4" ht="12.75">
      <c r="A25" t="s">
        <v>8</v>
      </c>
      <c r="B25" s="6">
        <v>2500</v>
      </c>
      <c r="C25" s="6">
        <v>2500</v>
      </c>
      <c r="D25" s="6">
        <v>2500</v>
      </c>
    </row>
    <row r="26" spans="1:4" ht="12.75">
      <c r="A26" s="10" t="s">
        <v>55</v>
      </c>
      <c r="B26" s="1">
        <f>B17+B21-B23</f>
        <v>-27.7</v>
      </c>
      <c r="C26" s="1">
        <f>C17+C21-C23</f>
        <v>-27.7</v>
      </c>
      <c r="D26" s="1">
        <f>D17+D21-D23</f>
        <v>-27.7</v>
      </c>
    </row>
    <row r="27" spans="1:4" ht="12.75">
      <c r="A27" s="10" t="s">
        <v>56</v>
      </c>
      <c r="B27" s="1">
        <f>B17-B20+B22</f>
        <v>-27</v>
      </c>
      <c r="C27" s="1">
        <f>C17-C20+C22</f>
        <v>-27</v>
      </c>
      <c r="D27" s="1">
        <f>D17-D20+D22</f>
        <v>-27</v>
      </c>
    </row>
    <row r="28" spans="1:4" ht="12.75">
      <c r="A28" s="10" t="s">
        <v>57</v>
      </c>
      <c r="B28" s="4">
        <f>10*LOG10(10^(B26/10)+10^(B27/10))</f>
        <v>-24.325611949724664</v>
      </c>
      <c r="C28" s="4">
        <f>10*LOG10(10^(C26/10)+10^(C27/10))</f>
        <v>-24.325611949724664</v>
      </c>
      <c r="D28" s="4">
        <f>10*LOG10(10^(D26/10)+10^(D27/10))</f>
        <v>-24.325611949724664</v>
      </c>
    </row>
    <row r="29" spans="1:5" s="17" customFormat="1" ht="12.75">
      <c r="A29" s="45" t="s">
        <v>111</v>
      </c>
      <c r="B29" s="46">
        <f>B28-10*LOG10(B25)</f>
        <v>-58.305012036445035</v>
      </c>
      <c r="C29" s="46">
        <f>C28-10*LOG10(C25)</f>
        <v>-58.305012036445035</v>
      </c>
      <c r="D29" s="46">
        <f>D28-10*LOG10(D25)</f>
        <v>-58.305012036445035</v>
      </c>
      <c r="E29" s="43" t="s">
        <v>108</v>
      </c>
    </row>
    <row r="30" spans="1:4" ht="12.75">
      <c r="A30" s="10" t="s">
        <v>17</v>
      </c>
      <c r="B30" s="4">
        <f>IF(B6&lt;B24,10*LOG10(B24/B25),10*LOG10(B6/B25))</f>
        <v>-17.958800173440753</v>
      </c>
      <c r="C30" s="4">
        <f>IF(C6&lt;C24,10*LOG10(C24/C25),10*LOG10(C6/C25))</f>
        <v>-15.406075122407692</v>
      </c>
      <c r="D30" s="4">
        <f>IF(D6&lt;D24,10*LOG10(D24/D25),10*LOG10(D6/D25))</f>
        <v>-33.979400086720375</v>
      </c>
    </row>
    <row r="31" ht="12.75">
      <c r="B31" s="4"/>
    </row>
    <row r="32" ht="12.75">
      <c r="A32" s="5" t="s">
        <v>10</v>
      </c>
    </row>
    <row r="33" spans="1:4" ht="12.75">
      <c r="A33" s="10" t="s">
        <v>15</v>
      </c>
      <c r="B33" s="4">
        <f>B28-B14+B30</f>
        <v>109.52498455234597</v>
      </c>
      <c r="C33" s="4">
        <f>C28-C14+C30</f>
        <v>80.29498796355495</v>
      </c>
      <c r="D33" s="4">
        <f>D28-D14+D30</f>
        <v>119.59498796355496</v>
      </c>
    </row>
    <row r="34" spans="1:4" ht="12.75">
      <c r="A34" s="10" t="s">
        <v>11</v>
      </c>
      <c r="B34" s="9">
        <f>10^((B33-32.44-20*LOG10(B5))/20)</f>
        <v>1.0212949574009318</v>
      </c>
      <c r="C34" s="9">
        <f>10^((C33-32.44-20*LOG10(C5))/20)</f>
        <v>0.03293731056613624</v>
      </c>
      <c r="D34" s="9">
        <f>10^((D33-32.44-20*LOG10(D5))/20)</f>
        <v>3.4271077010120328</v>
      </c>
    </row>
    <row r="37" ht="12.75">
      <c r="A37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7" sqref="E7"/>
    </sheetView>
  </sheetViews>
  <sheetFormatPr defaultColWidth="9.140625" defaultRowHeight="12.75"/>
  <cols>
    <col min="1" max="1" width="60.7109375" style="34" customWidth="1"/>
    <col min="2" max="5" width="12.7109375" style="2" customWidth="1"/>
    <col min="6" max="16384" width="9.140625" style="2" customWidth="1"/>
  </cols>
  <sheetData>
    <row r="1" spans="1:5" ht="12.75">
      <c r="A1" s="29" t="s">
        <v>103</v>
      </c>
      <c r="B1" s="20"/>
      <c r="C1" s="20"/>
      <c r="D1" s="20"/>
      <c r="E1" s="20"/>
    </row>
    <row r="2" spans="1:5" ht="12.75">
      <c r="A2" s="29"/>
      <c r="B2" s="20"/>
      <c r="C2" s="20"/>
      <c r="D2" s="20"/>
      <c r="E2" s="20"/>
    </row>
    <row r="3" spans="1:5" ht="12.75">
      <c r="A3" s="38" t="s">
        <v>90</v>
      </c>
      <c r="B3" s="21" t="s">
        <v>42</v>
      </c>
      <c r="C3" s="39"/>
      <c r="D3" s="21" t="s">
        <v>104</v>
      </c>
      <c r="E3" s="21" t="s">
        <v>43</v>
      </c>
    </row>
    <row r="4" spans="1:5" ht="12.75">
      <c r="A4" s="30" t="s">
        <v>26</v>
      </c>
      <c r="B4" s="36"/>
      <c r="C4" s="21" t="s">
        <v>27</v>
      </c>
      <c r="D4" s="36"/>
      <c r="E4" s="36"/>
    </row>
    <row r="5" spans="1:5" ht="12.75">
      <c r="A5" s="31" t="s">
        <v>61</v>
      </c>
      <c r="B5" s="22">
        <v>88</v>
      </c>
      <c r="C5" s="22" t="s">
        <v>40</v>
      </c>
      <c r="D5" s="22">
        <f>B5</f>
        <v>88</v>
      </c>
      <c r="E5" s="22">
        <f>B5</f>
        <v>88</v>
      </c>
    </row>
    <row r="6" spans="1:5" ht="12.75">
      <c r="A6" s="31" t="s">
        <v>62</v>
      </c>
      <c r="B6" s="22">
        <f>3/(10*B5)</f>
        <v>0.003409090909090909</v>
      </c>
      <c r="C6" s="22" t="s">
        <v>63</v>
      </c>
      <c r="D6" s="22">
        <f>B6</f>
        <v>0.003409090909090909</v>
      </c>
      <c r="E6" s="22">
        <f>B6</f>
        <v>0.003409090909090909</v>
      </c>
    </row>
    <row r="7" spans="1:5" ht="12.75">
      <c r="A7" s="30" t="s">
        <v>105</v>
      </c>
      <c r="B7" s="23">
        <v>-37</v>
      </c>
      <c r="C7" s="24" t="s">
        <v>30</v>
      </c>
      <c r="D7" s="23">
        <f>B7</f>
        <v>-37</v>
      </c>
      <c r="E7" s="23">
        <f>B7</f>
        <v>-37</v>
      </c>
    </row>
    <row r="8" spans="1:5" ht="12.75">
      <c r="A8" s="32" t="s">
        <v>65</v>
      </c>
      <c r="B8" s="24">
        <f>B$7-30</f>
        <v>-67</v>
      </c>
      <c r="C8" s="24" t="s">
        <v>32</v>
      </c>
      <c r="D8" s="24">
        <f>D$7-30</f>
        <v>-67</v>
      </c>
      <c r="E8" s="24">
        <f>E$7-30</f>
        <v>-67</v>
      </c>
    </row>
    <row r="9" spans="1:5" ht="12.75">
      <c r="A9" s="32" t="s">
        <v>66</v>
      </c>
      <c r="B9" s="23">
        <v>33</v>
      </c>
      <c r="C9" s="24" t="s">
        <v>35</v>
      </c>
      <c r="D9" s="24">
        <f aca="true" t="shared" si="0" ref="D9:D18">B9</f>
        <v>33</v>
      </c>
      <c r="E9" s="24">
        <f aca="true" t="shared" si="1" ref="E9:E18">B9</f>
        <v>33</v>
      </c>
    </row>
    <row r="10" spans="1:5" ht="12.75">
      <c r="A10" s="30" t="s">
        <v>67</v>
      </c>
      <c r="B10" s="24">
        <f>B8-B9</f>
        <v>-100</v>
      </c>
      <c r="C10" s="24" t="s">
        <v>32</v>
      </c>
      <c r="D10" s="24">
        <f t="shared" si="0"/>
        <v>-100</v>
      </c>
      <c r="E10" s="24">
        <f t="shared" si="1"/>
        <v>-100</v>
      </c>
    </row>
    <row r="11" spans="1:5" ht="12.75">
      <c r="A11" s="32" t="s">
        <v>68</v>
      </c>
      <c r="B11" s="23">
        <v>-10</v>
      </c>
      <c r="C11" s="24" t="s">
        <v>35</v>
      </c>
      <c r="D11" s="24">
        <f t="shared" si="0"/>
        <v>-10</v>
      </c>
      <c r="E11" s="24">
        <f t="shared" si="1"/>
        <v>-10</v>
      </c>
    </row>
    <row r="12" spans="1:5" ht="12.75">
      <c r="A12" s="32" t="s">
        <v>69</v>
      </c>
      <c r="B12" s="24">
        <f>B10+B11</f>
        <v>-110</v>
      </c>
      <c r="C12" s="24" t="s">
        <v>32</v>
      </c>
      <c r="D12" s="24">
        <f t="shared" si="0"/>
        <v>-110</v>
      </c>
      <c r="E12" s="24">
        <f t="shared" si="1"/>
        <v>-110</v>
      </c>
    </row>
    <row r="13" spans="1:5" ht="12.75">
      <c r="A13" s="32" t="s">
        <v>70</v>
      </c>
      <c r="B13" s="23">
        <v>-5</v>
      </c>
      <c r="C13" s="24" t="s">
        <v>31</v>
      </c>
      <c r="D13" s="24">
        <f t="shared" si="0"/>
        <v>-5</v>
      </c>
      <c r="E13" s="24">
        <f t="shared" si="1"/>
        <v>-5</v>
      </c>
    </row>
    <row r="14" spans="1:5" ht="12.75">
      <c r="A14" s="32" t="s">
        <v>71</v>
      </c>
      <c r="B14" s="23">
        <v>-0.95</v>
      </c>
      <c r="C14" s="24" t="s">
        <v>31</v>
      </c>
      <c r="D14" s="24">
        <f t="shared" si="0"/>
        <v>-0.95</v>
      </c>
      <c r="E14" s="24">
        <f t="shared" si="1"/>
        <v>-0.95</v>
      </c>
    </row>
    <row r="15" spans="1:5" ht="12.75">
      <c r="A15" s="32" t="s">
        <v>72</v>
      </c>
      <c r="B15" s="23">
        <v>850</v>
      </c>
      <c r="C15" s="24" t="s">
        <v>33</v>
      </c>
      <c r="D15" s="24">
        <f t="shared" si="0"/>
        <v>850</v>
      </c>
      <c r="E15" s="24">
        <f t="shared" si="1"/>
        <v>850</v>
      </c>
    </row>
    <row r="16" spans="1:5" ht="12.75">
      <c r="A16" s="32" t="s">
        <v>73</v>
      </c>
      <c r="B16" s="24">
        <f>20*LOG(4*PI()*B15*1000/B6)</f>
        <v>189.9198041433379</v>
      </c>
      <c r="C16" s="24" t="s">
        <v>31</v>
      </c>
      <c r="D16" s="24">
        <f t="shared" si="0"/>
        <v>189.9198041433379</v>
      </c>
      <c r="E16" s="24">
        <f t="shared" si="1"/>
        <v>189.9198041433379</v>
      </c>
    </row>
    <row r="17" spans="1:5" ht="25.5">
      <c r="A17" s="30" t="s">
        <v>74</v>
      </c>
      <c r="B17" s="24">
        <f>B8+2*B13+2*B14+20*LOG10(B6/(8*PI()*B15*1000))</f>
        <v>-274.84040405661756</v>
      </c>
      <c r="C17" s="24" t="s">
        <v>32</v>
      </c>
      <c r="D17" s="24">
        <f t="shared" si="0"/>
        <v>-274.84040405661756</v>
      </c>
      <c r="E17" s="24">
        <f t="shared" si="1"/>
        <v>-274.84040405661756</v>
      </c>
    </row>
    <row r="18" spans="1:5" ht="12.75">
      <c r="A18" s="30" t="s">
        <v>75</v>
      </c>
      <c r="B18" s="24">
        <f>B12-B16</f>
        <v>-299.9198041433379</v>
      </c>
      <c r="C18" s="24" t="s">
        <v>32</v>
      </c>
      <c r="D18" s="24">
        <f t="shared" si="0"/>
        <v>-299.9198041433379</v>
      </c>
      <c r="E18" s="24">
        <f t="shared" si="1"/>
        <v>-299.9198041433379</v>
      </c>
    </row>
    <row r="19" spans="1:5" ht="12.75">
      <c r="A19" s="30" t="s">
        <v>76</v>
      </c>
      <c r="B19" s="24">
        <f>10*LOG(POWER(10,B17/10)+POWER(10,B18/10))</f>
        <v>-274.8269401548733</v>
      </c>
      <c r="C19" s="24" t="s">
        <v>32</v>
      </c>
      <c r="D19" s="24">
        <f>10*LOG(POWER(10,D17/10)+POWER(10,D$18/10))</f>
        <v>-274.8269401548733</v>
      </c>
      <c r="E19" s="24">
        <f>10*LOG(POWER(10,E17/10)+POWER(10,E$18/10))</f>
        <v>-274.8269401548733</v>
      </c>
    </row>
    <row r="20" spans="1:5" ht="12.75">
      <c r="A20" s="32" t="s">
        <v>34</v>
      </c>
      <c r="B20" s="23">
        <v>34.4</v>
      </c>
      <c r="C20" s="24" t="s">
        <v>35</v>
      </c>
      <c r="D20" s="23">
        <v>47</v>
      </c>
      <c r="E20" s="23">
        <v>37.9</v>
      </c>
    </row>
    <row r="21" spans="1:5" ht="12.75">
      <c r="A21" s="32" t="s">
        <v>36</v>
      </c>
      <c r="B21" s="23">
        <v>2</v>
      </c>
      <c r="C21" s="24" t="s">
        <v>31</v>
      </c>
      <c r="D21" s="23">
        <v>2</v>
      </c>
      <c r="E21" s="23">
        <v>2</v>
      </c>
    </row>
    <row r="22" spans="1:5" ht="12.75">
      <c r="A22" s="32" t="s">
        <v>77</v>
      </c>
      <c r="B22" s="24">
        <f>B19+B20-B21</f>
        <v>-242.42694015487328</v>
      </c>
      <c r="C22" s="24" t="s">
        <v>78</v>
      </c>
      <c r="D22" s="24">
        <f>D19+D$20-D$21</f>
        <v>-229.82694015487328</v>
      </c>
      <c r="E22" s="24">
        <f>E$19+E$20-E$21</f>
        <v>-238.92694015487328</v>
      </c>
    </row>
    <row r="23" spans="1:5" ht="25.5">
      <c r="A23" s="32" t="s">
        <v>94</v>
      </c>
      <c r="B23" s="24">
        <f>B22+10*LOG(100)</f>
        <v>-222.42694015487328</v>
      </c>
      <c r="C23" s="24" t="s">
        <v>78</v>
      </c>
      <c r="D23" s="24">
        <f>D22+10*LOG(100)</f>
        <v>-209.82694015487328</v>
      </c>
      <c r="E23" s="24">
        <f>E22+10*LOG(100)</f>
        <v>-218.92694015487328</v>
      </c>
    </row>
    <row r="24" spans="1:5" ht="25.5">
      <c r="A24" s="32" t="s">
        <v>95</v>
      </c>
      <c r="B24" s="24">
        <v>-169</v>
      </c>
      <c r="C24" s="24" t="s">
        <v>78</v>
      </c>
      <c r="D24" s="24">
        <f>B24</f>
        <v>-169</v>
      </c>
      <c r="E24" s="24">
        <f>B24</f>
        <v>-169</v>
      </c>
    </row>
    <row r="25" spans="1:5" s="1" customFormat="1" ht="25.5">
      <c r="A25" s="30" t="s">
        <v>101</v>
      </c>
      <c r="B25" s="26">
        <f>B24+10*LOG(0.01)</f>
        <v>-189</v>
      </c>
      <c r="C25" s="26" t="s">
        <v>78</v>
      </c>
      <c r="D25" s="26">
        <f>D24+10*LOG(0.01)</f>
        <v>-189</v>
      </c>
      <c r="E25" s="26">
        <f>E24+10*LOG(0.01)</f>
        <v>-189</v>
      </c>
    </row>
    <row r="26" spans="1:5" ht="12.75">
      <c r="A26" s="32" t="s">
        <v>37</v>
      </c>
      <c r="B26" s="23">
        <v>1500</v>
      </c>
      <c r="C26" s="24" t="s">
        <v>38</v>
      </c>
      <c r="D26" s="23">
        <v>170</v>
      </c>
      <c r="E26" s="23">
        <v>1000</v>
      </c>
    </row>
    <row r="27" spans="1:5" ht="14.25">
      <c r="A27" s="32" t="s">
        <v>89</v>
      </c>
      <c r="B27" s="25">
        <v>0.001</v>
      </c>
      <c r="C27" s="24" t="s">
        <v>82</v>
      </c>
      <c r="D27" s="25">
        <f>B27</f>
        <v>0.001</v>
      </c>
      <c r="E27" s="25">
        <f>B27</f>
        <v>0.001</v>
      </c>
    </row>
    <row r="28" spans="1:5" ht="12.75">
      <c r="A28" s="32" t="s">
        <v>39</v>
      </c>
      <c r="B28" s="24">
        <f>B26*B27</f>
        <v>1.5</v>
      </c>
      <c r="C28" s="24" t="s">
        <v>82</v>
      </c>
      <c r="D28" s="24">
        <f>D26*D27</f>
        <v>0.17</v>
      </c>
      <c r="E28" s="24">
        <f>E26*E27</f>
        <v>1</v>
      </c>
    </row>
    <row r="29" spans="1:5" ht="12.75">
      <c r="A29" s="32" t="s">
        <v>83</v>
      </c>
      <c r="B29" s="23">
        <v>90</v>
      </c>
      <c r="C29" s="24" t="s">
        <v>84</v>
      </c>
      <c r="D29" s="24">
        <f>B29</f>
        <v>90</v>
      </c>
      <c r="E29" s="24">
        <f>B29</f>
        <v>90</v>
      </c>
    </row>
    <row r="30" spans="1:5" ht="12.75">
      <c r="A30" s="32" t="s">
        <v>85</v>
      </c>
      <c r="B30" s="23">
        <v>25</v>
      </c>
      <c r="C30" s="24" t="s">
        <v>31</v>
      </c>
      <c r="D30" s="24">
        <f>B30</f>
        <v>25</v>
      </c>
      <c r="E30" s="24">
        <f>B30</f>
        <v>25</v>
      </c>
    </row>
    <row r="31" spans="1:5" ht="25.5">
      <c r="A31" s="32" t="s">
        <v>86</v>
      </c>
      <c r="B31" s="24">
        <f>((B29/100)*B28/(10^(B30/10))+(1-B29/100)*B28)</f>
        <v>0.15426907484122726</v>
      </c>
      <c r="C31" s="24" t="s">
        <v>82</v>
      </c>
      <c r="D31" s="24">
        <f>((D29/100)*D28/(10^(D30/10))+(1-D29/100)*D28)</f>
        <v>0.017483828482005758</v>
      </c>
      <c r="E31" s="24">
        <f>((E29/100)*E28/(10^(E30/10))+(1-E29/100)*E28)</f>
        <v>0.10284604989415151</v>
      </c>
    </row>
    <row r="32" spans="1:5" s="1" customFormat="1" ht="25.5">
      <c r="A32" s="30" t="s">
        <v>97</v>
      </c>
      <c r="B32" s="26">
        <f>B23+10*LOG(B31)</f>
        <v>-230.54415140440935</v>
      </c>
      <c r="C32" s="26" t="s">
        <v>78</v>
      </c>
      <c r="D32" s="26">
        <f>D23+10*LOG(D31)</f>
        <v>-227.40057478118342</v>
      </c>
      <c r="E32" s="26">
        <f>E23+10*LOG(E31)</f>
        <v>-228.80506399496616</v>
      </c>
    </row>
    <row r="33" spans="1:5" s="1" customFormat="1" ht="12.75">
      <c r="A33" s="30" t="s">
        <v>88</v>
      </c>
      <c r="B33" s="26">
        <f>B25-B32</f>
        <v>41.54415140440935</v>
      </c>
      <c r="C33" s="26" t="s">
        <v>31</v>
      </c>
      <c r="D33" s="26">
        <f>D25-D32</f>
        <v>38.40057478118342</v>
      </c>
      <c r="E33" s="26">
        <f>E25-E32</f>
        <v>39.80506399496616</v>
      </c>
    </row>
  </sheetData>
  <printOptions/>
  <pageMargins left="0.75" right="0.75" top="1" bottom="1" header="0.5" footer="0.5"/>
  <pageSetup orientation="portrait" paperSize="9"/>
  <legacyDrawing r:id="rId8"/>
  <oleObjects>
    <oleObject progId="Equation.3" shapeId="686895" r:id="rId1"/>
    <oleObject progId="Equation.3" shapeId="686896" r:id="rId2"/>
    <oleObject progId="Equation.3" shapeId="686897" r:id="rId3"/>
    <oleObject progId="Equation.3" shapeId="686898" r:id="rId4"/>
    <oleObject progId="Equation.3" shapeId="686899" r:id="rId5"/>
    <oleObject progId="Equation.3" shapeId="686900" r:id="rId6"/>
    <oleObject progId="Equation.3" shapeId="686901" r:id="rId7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2" sqref="A2"/>
    </sheetView>
  </sheetViews>
  <sheetFormatPr defaultColWidth="9.140625" defaultRowHeight="12.75"/>
  <cols>
    <col min="1" max="1" width="66.421875" style="0" customWidth="1"/>
    <col min="2" max="2" width="8.28125" style="0" customWidth="1"/>
    <col min="3" max="4" width="10.8515625" style="0" bestFit="1" customWidth="1"/>
    <col min="5" max="5" width="6.8515625" style="0" customWidth="1"/>
    <col min="6" max="7" width="7.57421875" style="0" customWidth="1"/>
    <col min="8" max="8" width="9.57421875" style="0" bestFit="1" customWidth="1"/>
  </cols>
  <sheetData>
    <row r="1" ht="12.75">
      <c r="A1" s="1" t="s">
        <v>138</v>
      </c>
    </row>
    <row r="3" spans="1:8" ht="12.75">
      <c r="A3" s="67" t="s">
        <v>52</v>
      </c>
      <c r="B3" s="68" t="s">
        <v>112</v>
      </c>
      <c r="C3" s="69" t="s">
        <v>113</v>
      </c>
      <c r="D3" s="69" t="s">
        <v>114</v>
      </c>
      <c r="E3" s="69" t="s">
        <v>115</v>
      </c>
      <c r="F3" s="69" t="s">
        <v>116</v>
      </c>
      <c r="G3" s="69" t="s">
        <v>117</v>
      </c>
      <c r="H3" s="69" t="s">
        <v>118</v>
      </c>
    </row>
    <row r="4" spans="1:8" ht="12.75">
      <c r="A4" s="36" t="s">
        <v>119</v>
      </c>
      <c r="B4" s="55" t="s">
        <v>120</v>
      </c>
      <c r="C4" s="47">
        <v>7500</v>
      </c>
      <c r="D4" s="48">
        <v>7500</v>
      </c>
      <c r="E4" s="47">
        <v>7500</v>
      </c>
      <c r="F4" s="47">
        <v>8200</v>
      </c>
      <c r="G4" s="47">
        <v>8200</v>
      </c>
      <c r="H4" s="47">
        <v>8300</v>
      </c>
    </row>
    <row r="5" spans="1:8" ht="12.75">
      <c r="A5" s="36" t="s">
        <v>121</v>
      </c>
      <c r="B5" s="55" t="s">
        <v>122</v>
      </c>
      <c r="C5" s="47">
        <v>0.1</v>
      </c>
      <c r="D5" s="48">
        <v>0.1</v>
      </c>
      <c r="E5" s="47">
        <v>20</v>
      </c>
      <c r="F5" s="47">
        <v>375</v>
      </c>
      <c r="G5" s="47">
        <v>85</v>
      </c>
      <c r="H5" s="47">
        <v>10</v>
      </c>
    </row>
    <row r="6" spans="1:8" ht="12.75">
      <c r="A6" s="36" t="s">
        <v>139</v>
      </c>
      <c r="B6" s="55" t="s">
        <v>78</v>
      </c>
      <c r="C6" s="47">
        <v>5</v>
      </c>
      <c r="D6" s="47">
        <v>5</v>
      </c>
      <c r="E6" s="47">
        <v>5</v>
      </c>
      <c r="F6" s="47"/>
      <c r="G6" s="47"/>
      <c r="H6" s="47"/>
    </row>
    <row r="7" spans="1:8" ht="12.75">
      <c r="A7" s="36" t="s">
        <v>136</v>
      </c>
      <c r="B7" s="55" t="s">
        <v>31</v>
      </c>
      <c r="C7" s="47">
        <v>201</v>
      </c>
      <c r="D7" s="47">
        <v>201</v>
      </c>
      <c r="E7" s="47"/>
      <c r="F7" s="47"/>
      <c r="G7" s="47"/>
      <c r="H7" s="47"/>
    </row>
    <row r="8" spans="1:8" ht="12.75">
      <c r="A8" s="36" t="s">
        <v>145</v>
      </c>
      <c r="B8" s="55" t="s">
        <v>123</v>
      </c>
      <c r="C8" s="47">
        <v>7</v>
      </c>
      <c r="D8" s="48">
        <v>10</v>
      </c>
      <c r="E8" s="47">
        <v>15</v>
      </c>
      <c r="F8" s="47">
        <v>15</v>
      </c>
      <c r="G8" s="47">
        <v>15</v>
      </c>
      <c r="H8" s="47">
        <v>15</v>
      </c>
    </row>
    <row r="9" spans="1:8" ht="12.75">
      <c r="A9" s="36" t="s">
        <v>137</v>
      </c>
      <c r="B9" s="55" t="s">
        <v>35</v>
      </c>
      <c r="C9" s="47">
        <v>61</v>
      </c>
      <c r="D9" s="48">
        <v>40</v>
      </c>
      <c r="E9" s="47">
        <v>46</v>
      </c>
      <c r="F9" s="47"/>
      <c r="G9" s="47"/>
      <c r="H9" s="47"/>
    </row>
    <row r="10" spans="1:8" ht="12.75">
      <c r="A10" s="36" t="s">
        <v>124</v>
      </c>
      <c r="B10" s="55" t="s">
        <v>31</v>
      </c>
      <c r="C10" s="47">
        <v>22.2</v>
      </c>
      <c r="D10" s="48">
        <v>22.2</v>
      </c>
      <c r="E10" s="47">
        <v>16.6</v>
      </c>
      <c r="F10" s="47">
        <v>22.2</v>
      </c>
      <c r="G10" s="47">
        <v>26.3</v>
      </c>
      <c r="H10" s="47">
        <v>27.2</v>
      </c>
    </row>
    <row r="11" spans="1:8" ht="12.75">
      <c r="A11" s="36" t="s">
        <v>125</v>
      </c>
      <c r="B11" s="55" t="s">
        <v>78</v>
      </c>
      <c r="C11" s="64">
        <f>C6+C9-C7</f>
        <v>-135</v>
      </c>
      <c r="D11" s="64">
        <f>D6+D9-D7</f>
        <v>-156</v>
      </c>
      <c r="E11" s="64">
        <v>-112.8</v>
      </c>
      <c r="F11" s="64">
        <v>-89.8</v>
      </c>
      <c r="G11" s="64">
        <v>-92.8</v>
      </c>
      <c r="H11" s="64">
        <v>-115.1</v>
      </c>
    </row>
    <row r="12" spans="1:8" ht="12.75">
      <c r="A12" s="49" t="s">
        <v>126</v>
      </c>
      <c r="B12" s="55" t="s">
        <v>127</v>
      </c>
      <c r="C12" s="49">
        <f>C11-C10+30</f>
        <v>-127.19999999999999</v>
      </c>
      <c r="D12" s="49">
        <f>D11-D10+30</f>
        <v>-148.2</v>
      </c>
      <c r="E12" s="49">
        <v>-105</v>
      </c>
      <c r="F12" s="49">
        <v>-82</v>
      </c>
      <c r="G12" s="49">
        <v>-89.1</v>
      </c>
      <c r="H12" s="49">
        <v>-112.3</v>
      </c>
    </row>
    <row r="13" spans="1:8" ht="12.75">
      <c r="A13" s="51" t="s">
        <v>126</v>
      </c>
      <c r="B13" s="56" t="s">
        <v>30</v>
      </c>
      <c r="C13" s="50">
        <f>C12-10*LOG(C5)</f>
        <v>-117.19999999999999</v>
      </c>
      <c r="D13" s="50">
        <f>D12-10*LOG(D5)</f>
        <v>-138.2</v>
      </c>
      <c r="E13" s="51">
        <v>-118</v>
      </c>
      <c r="F13" s="51">
        <v>-107.74</v>
      </c>
      <c r="G13" s="51">
        <v>-108.39</v>
      </c>
      <c r="H13" s="51">
        <v>-122.3</v>
      </c>
    </row>
    <row r="14" spans="1:8" ht="12.75">
      <c r="A14" s="36" t="s">
        <v>128</v>
      </c>
      <c r="B14" s="55" t="s">
        <v>129</v>
      </c>
      <c r="C14" s="47">
        <v>3</v>
      </c>
      <c r="D14" s="48">
        <v>1</v>
      </c>
      <c r="E14" s="47">
        <v>1</v>
      </c>
      <c r="F14" s="47">
        <v>1</v>
      </c>
      <c r="G14" s="47">
        <v>1</v>
      </c>
      <c r="H14" s="47">
        <v>1</v>
      </c>
    </row>
    <row r="15" spans="1:8" ht="12.75">
      <c r="A15" s="36"/>
      <c r="B15" s="55"/>
      <c r="C15" s="36"/>
      <c r="D15" s="52"/>
      <c r="E15" s="36"/>
      <c r="F15" s="36"/>
      <c r="G15" s="36"/>
      <c r="H15" s="36"/>
    </row>
    <row r="16" spans="1:8" ht="12.75">
      <c r="A16" s="57" t="s">
        <v>23</v>
      </c>
      <c r="B16" s="58"/>
      <c r="C16" s="36"/>
      <c r="D16" s="52"/>
      <c r="E16" s="36"/>
      <c r="F16" s="36"/>
      <c r="G16" s="36"/>
      <c r="H16" s="36"/>
    </row>
    <row r="17" spans="1:8" ht="12.75">
      <c r="A17" s="36" t="s">
        <v>130</v>
      </c>
      <c r="B17" s="55" t="s">
        <v>127</v>
      </c>
      <c r="C17" s="47">
        <v>1</v>
      </c>
      <c r="D17" s="47">
        <v>1</v>
      </c>
      <c r="E17" s="47"/>
      <c r="F17" s="47"/>
      <c r="G17" s="47"/>
      <c r="H17" s="47"/>
    </row>
    <row r="18" spans="1:8" ht="12.75">
      <c r="A18" s="36" t="s">
        <v>131</v>
      </c>
      <c r="B18" s="55" t="s">
        <v>132</v>
      </c>
      <c r="C18" s="47">
        <v>2500</v>
      </c>
      <c r="D18" s="47">
        <v>2500</v>
      </c>
      <c r="E18" s="47"/>
      <c r="F18" s="47"/>
      <c r="G18" s="47"/>
      <c r="H18" s="47"/>
    </row>
    <row r="19" spans="1:8" ht="12.75">
      <c r="A19" s="59" t="s">
        <v>130</v>
      </c>
      <c r="B19" s="56" t="s">
        <v>30</v>
      </c>
      <c r="C19" s="50">
        <f>C17-10*LOG(2500)</f>
        <v>-32.979400086720375</v>
      </c>
      <c r="D19" s="50">
        <f>D17-10*LOG(2500)</f>
        <v>-32.979400086720375</v>
      </c>
      <c r="E19" s="49"/>
      <c r="F19" s="49"/>
      <c r="G19" s="49"/>
      <c r="H19" s="49"/>
    </row>
    <row r="20" spans="1:8" ht="12.75">
      <c r="A20" s="36" t="s">
        <v>137</v>
      </c>
      <c r="B20" s="55" t="s">
        <v>35</v>
      </c>
      <c r="C20" s="47">
        <v>18</v>
      </c>
      <c r="D20" s="47">
        <v>18</v>
      </c>
      <c r="E20" s="47"/>
      <c r="F20" s="47"/>
      <c r="G20" s="47"/>
      <c r="H20" s="47"/>
    </row>
    <row r="21" spans="1:8" ht="12.75">
      <c r="A21" s="36" t="s">
        <v>143</v>
      </c>
      <c r="B21" s="60" t="s">
        <v>30</v>
      </c>
      <c r="C21" s="53">
        <f>C19-C20</f>
        <v>-50.979400086720375</v>
      </c>
      <c r="D21" s="53">
        <f>D19-D20</f>
        <v>-50.979400086720375</v>
      </c>
      <c r="E21" s="49"/>
      <c r="F21" s="49"/>
      <c r="G21" s="49"/>
      <c r="H21" s="49"/>
    </row>
    <row r="22" spans="1:8" ht="12.75">
      <c r="A22" s="36" t="s">
        <v>133</v>
      </c>
      <c r="B22" s="55" t="s">
        <v>31</v>
      </c>
      <c r="C22" s="47">
        <v>-15.7</v>
      </c>
      <c r="D22" s="47">
        <v>-15.7</v>
      </c>
      <c r="E22" s="47"/>
      <c r="F22" s="47"/>
      <c r="G22" s="47"/>
      <c r="H22" s="47"/>
    </row>
    <row r="23" spans="1:8" ht="12.75">
      <c r="A23" s="36" t="s">
        <v>134</v>
      </c>
      <c r="B23" s="55" t="s">
        <v>31</v>
      </c>
      <c r="C23" s="47">
        <v>13</v>
      </c>
      <c r="D23" s="47">
        <v>13</v>
      </c>
      <c r="E23" s="47"/>
      <c r="F23" s="47"/>
      <c r="G23" s="47"/>
      <c r="H23" s="47"/>
    </row>
    <row r="24" spans="1:8" ht="12.75">
      <c r="A24" s="36" t="s">
        <v>144</v>
      </c>
      <c r="B24" s="55" t="s">
        <v>35</v>
      </c>
      <c r="C24" s="47">
        <v>-10</v>
      </c>
      <c r="D24" s="47">
        <v>-10</v>
      </c>
      <c r="E24" s="47"/>
      <c r="F24" s="47"/>
      <c r="G24" s="47"/>
      <c r="H24" s="47"/>
    </row>
    <row r="25" spans="1:8" ht="12.75">
      <c r="A25" s="61" t="s">
        <v>140</v>
      </c>
      <c r="B25" s="65" t="s">
        <v>30</v>
      </c>
      <c r="C25" s="53">
        <f>C19+C22-C23</f>
        <v>-61.67940008672038</v>
      </c>
      <c r="D25" s="53">
        <f>D19+D22-D23</f>
        <v>-61.67940008672038</v>
      </c>
      <c r="E25" s="49"/>
      <c r="F25" s="49"/>
      <c r="G25" s="49"/>
      <c r="H25" s="49"/>
    </row>
    <row r="26" spans="1:8" ht="12.75">
      <c r="A26" s="61" t="s">
        <v>141</v>
      </c>
      <c r="B26" s="65" t="s">
        <v>30</v>
      </c>
      <c r="C26" s="53">
        <f>C21+C24</f>
        <v>-60.979400086720375</v>
      </c>
      <c r="D26" s="53">
        <f>D21+D24</f>
        <v>-60.979400086720375</v>
      </c>
      <c r="E26" s="49"/>
      <c r="F26" s="49"/>
      <c r="G26" s="49"/>
      <c r="H26" s="49"/>
    </row>
    <row r="27" spans="1:8" ht="12.75">
      <c r="A27" s="62" t="s">
        <v>142</v>
      </c>
      <c r="B27" s="66" t="s">
        <v>30</v>
      </c>
      <c r="C27" s="54">
        <f>10*LOG(10^(C25/10)+10^(C26/10))</f>
        <v>-58.30501203644505</v>
      </c>
      <c r="D27" s="54">
        <f>10*LOG(10^(D25/10)+10^(D26/10))</f>
        <v>-58.30501203644505</v>
      </c>
      <c r="E27" s="54">
        <f>D27</f>
        <v>-58.30501203644505</v>
      </c>
      <c r="F27" s="54">
        <f>E27</f>
        <v>-58.30501203644505</v>
      </c>
      <c r="G27" s="54">
        <f>F27</f>
        <v>-58.30501203644505</v>
      </c>
      <c r="H27" s="54">
        <f>G27</f>
        <v>-58.30501203644505</v>
      </c>
    </row>
    <row r="28" spans="1:8" ht="12.75">
      <c r="A28" s="57" t="s">
        <v>10</v>
      </c>
      <c r="B28" s="58"/>
      <c r="C28" s="36"/>
      <c r="D28" s="52"/>
      <c r="E28" s="36"/>
      <c r="F28" s="36"/>
      <c r="G28" s="36"/>
      <c r="H28" s="36"/>
    </row>
    <row r="29" spans="1:8" ht="12.75">
      <c r="A29" s="51" t="s">
        <v>15</v>
      </c>
      <c r="B29" s="63"/>
      <c r="C29" s="35">
        <f aca="true" t="shared" si="0" ref="C29:H29">C27+C8-C14-C13</f>
        <v>62.89498796355494</v>
      </c>
      <c r="D29" s="35">
        <f t="shared" si="0"/>
        <v>88.89498796355494</v>
      </c>
      <c r="E29" s="35">
        <f t="shared" si="0"/>
        <v>73.69498796355495</v>
      </c>
      <c r="F29" s="35">
        <f t="shared" si="0"/>
        <v>63.434987963554946</v>
      </c>
      <c r="G29" s="35">
        <f t="shared" si="0"/>
        <v>64.08498796355495</v>
      </c>
      <c r="H29" s="35">
        <f t="shared" si="0"/>
        <v>77.99498796355495</v>
      </c>
    </row>
    <row r="30" spans="1:8" ht="12.75">
      <c r="A30" s="51" t="s">
        <v>11</v>
      </c>
      <c r="B30" s="63"/>
      <c r="C30" s="35">
        <f aca="true" t="shared" si="1" ref="C30:H30">10^((C29-32.44-20*LOG10(C4))/20)</f>
        <v>0.004443120940611159</v>
      </c>
      <c r="D30" s="35">
        <f t="shared" si="1"/>
        <v>0.08865191773650538</v>
      </c>
      <c r="E30" s="35">
        <f t="shared" si="1"/>
        <v>0.01540593761127206</v>
      </c>
      <c r="F30" s="35">
        <f t="shared" si="1"/>
        <v>0.004324496458607582</v>
      </c>
      <c r="G30" s="35">
        <f t="shared" si="1"/>
        <v>0.004660532553023884</v>
      </c>
      <c r="H30" s="35">
        <f t="shared" si="1"/>
        <v>0.022838696106870244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9"/>
  <sheetViews>
    <sheetView tabSelected="1" workbookViewId="0" topLeftCell="A1">
      <selection activeCell="A4" sqref="A4"/>
    </sheetView>
  </sheetViews>
  <sheetFormatPr defaultColWidth="9.140625" defaultRowHeight="12.75"/>
  <cols>
    <col min="1" max="1" width="45.57421875" style="0" customWidth="1"/>
    <col min="2" max="6" width="10.7109375" style="0" customWidth="1"/>
    <col min="7" max="7" width="23.00390625" style="0" customWidth="1"/>
  </cols>
  <sheetData>
    <row r="4" spans="1:6" ht="12.75">
      <c r="A4" s="5" t="s">
        <v>2</v>
      </c>
      <c r="B4" s="11" t="s">
        <v>146</v>
      </c>
      <c r="C4" s="11" t="s">
        <v>147</v>
      </c>
      <c r="D4" s="7" t="s">
        <v>24</v>
      </c>
      <c r="E4" s="7" t="s">
        <v>25</v>
      </c>
      <c r="F4" s="7" t="s">
        <v>149</v>
      </c>
    </row>
    <row r="5" spans="1:6" ht="12.75">
      <c r="A5" s="2" t="s">
        <v>1</v>
      </c>
      <c r="B5" s="6">
        <v>25000</v>
      </c>
      <c r="C5" s="6">
        <v>25000</v>
      </c>
      <c r="D5" s="6">
        <v>25000</v>
      </c>
      <c r="E5" s="6">
        <v>25000</v>
      </c>
      <c r="F5" s="6">
        <v>25000</v>
      </c>
    </row>
    <row r="6" spans="1:6" ht="12.75">
      <c r="A6" t="s">
        <v>5</v>
      </c>
      <c r="B6" s="6">
        <v>28</v>
      </c>
      <c r="C6" s="70">
        <v>28</v>
      </c>
      <c r="D6" s="6">
        <v>28</v>
      </c>
      <c r="E6" s="6">
        <v>28</v>
      </c>
      <c r="F6" s="6">
        <v>1</v>
      </c>
    </row>
    <row r="7" spans="1:6" ht="12.75">
      <c r="A7" t="s">
        <v>4</v>
      </c>
      <c r="B7" s="6">
        <v>6</v>
      </c>
      <c r="C7" s="70">
        <v>4.5</v>
      </c>
      <c r="D7" s="6">
        <v>6</v>
      </c>
      <c r="E7" s="6">
        <v>6</v>
      </c>
      <c r="F7" s="13" t="s">
        <v>22</v>
      </c>
    </row>
    <row r="8" spans="1:6" ht="12.75">
      <c r="A8" t="s">
        <v>0</v>
      </c>
      <c r="B8" s="6">
        <v>-20</v>
      </c>
      <c r="C8" s="70">
        <v>-20</v>
      </c>
      <c r="D8" s="6">
        <v>-20</v>
      </c>
      <c r="E8" s="6">
        <v>-6</v>
      </c>
      <c r="F8" s="13" t="s">
        <v>22</v>
      </c>
    </row>
    <row r="9" spans="1:6" ht="12.75">
      <c r="A9" t="s">
        <v>6</v>
      </c>
      <c r="B9" s="8">
        <v>41</v>
      </c>
      <c r="C9" s="71">
        <v>47.4</v>
      </c>
      <c r="D9" s="6">
        <v>18</v>
      </c>
      <c r="E9" s="6">
        <v>0</v>
      </c>
      <c r="F9" s="6">
        <v>0</v>
      </c>
    </row>
    <row r="10" spans="1:6" ht="12.75">
      <c r="A10" t="s">
        <v>148</v>
      </c>
      <c r="B10" s="8">
        <v>0</v>
      </c>
      <c r="C10" s="71">
        <v>0</v>
      </c>
      <c r="D10" s="6"/>
      <c r="E10" s="6"/>
      <c r="F10" s="6"/>
    </row>
    <row r="11" spans="1:6" ht="12.75">
      <c r="A11" s="2" t="s">
        <v>12</v>
      </c>
      <c r="B11" s="8">
        <v>0</v>
      </c>
      <c r="C11" s="71">
        <v>1</v>
      </c>
      <c r="D11" s="6">
        <v>3</v>
      </c>
      <c r="E11" s="6">
        <v>0</v>
      </c>
      <c r="F11" s="6">
        <v>0</v>
      </c>
    </row>
    <row r="12" spans="1:6" ht="12.75">
      <c r="A12" s="10" t="s">
        <v>14</v>
      </c>
      <c r="B12" s="4">
        <f>10*LOG10(1.38*1E-23*300*B6*1000000)+B7+30</f>
        <v>-93.35841627536882</v>
      </c>
      <c r="C12" s="4">
        <f>10*LOG10(1.38*1E-23*300*C6*1000000)+C7+30</f>
        <v>-94.85841627536882</v>
      </c>
      <c r="D12" s="4">
        <f>10*LOG10(1.38*1E-23*300*D6*1000000)+D7+30</f>
        <v>-93.35841627536882</v>
      </c>
      <c r="E12" s="4">
        <f>10*LOG10(1.38*1E-23*300*E6*1000000)+E7+30</f>
        <v>-93.35841627536882</v>
      </c>
      <c r="F12" s="14" t="s">
        <v>22</v>
      </c>
    </row>
    <row r="13" spans="1:6" ht="12.75">
      <c r="A13" s="10" t="s">
        <v>18</v>
      </c>
      <c r="B13" s="4">
        <f>B8+B12</f>
        <v>-113.35841627536882</v>
      </c>
      <c r="C13" s="4">
        <f>C8+C12</f>
        <v>-114.85841627536882</v>
      </c>
      <c r="D13" s="4">
        <f>D8+D12</f>
        <v>-113.35841627536882</v>
      </c>
      <c r="E13" s="4">
        <f>E8+E12</f>
        <v>-99.35841627536882</v>
      </c>
      <c r="F13" s="14" t="s">
        <v>22</v>
      </c>
    </row>
    <row r="14" spans="1:6" ht="12.75">
      <c r="A14" s="10" t="s">
        <v>19</v>
      </c>
      <c r="B14" s="4">
        <f>B13-B9+B11</f>
        <v>-154.35841627536882</v>
      </c>
      <c r="C14" s="4">
        <f>C13-C9+C11</f>
        <v>-161.25841627536883</v>
      </c>
      <c r="D14" s="4">
        <f>D13-D9+D11</f>
        <v>-128.35841627536882</v>
      </c>
      <c r="E14" s="4">
        <f>E13-E9+E11</f>
        <v>-99.35841627536882</v>
      </c>
      <c r="F14" s="4">
        <v>-192.1</v>
      </c>
    </row>
    <row r="15" spans="1:6" ht="12.75">
      <c r="A15" s="10" t="s">
        <v>151</v>
      </c>
      <c r="B15" s="4">
        <f>B13-B10+B11</f>
        <v>-113.35841627536882</v>
      </c>
      <c r="C15" s="4">
        <f>C13-C10+C11</f>
        <v>-113.85841627536882</v>
      </c>
      <c r="D15" s="4"/>
      <c r="E15" s="4"/>
      <c r="F15" s="4"/>
    </row>
    <row r="17" spans="1:3" ht="12.75">
      <c r="A17" s="5" t="s">
        <v>23</v>
      </c>
      <c r="B17" s="3"/>
      <c r="C17" s="3"/>
    </row>
    <row r="18" spans="1:7" ht="12.75">
      <c r="A18" t="s">
        <v>13</v>
      </c>
      <c r="B18" s="6">
        <v>20</v>
      </c>
      <c r="C18" s="6">
        <v>20</v>
      </c>
      <c r="D18" s="6">
        <v>20</v>
      </c>
      <c r="E18" s="6">
        <v>20</v>
      </c>
      <c r="F18" s="6">
        <v>-10</v>
      </c>
      <c r="G18" s="17" t="s">
        <v>109</v>
      </c>
    </row>
    <row r="19" spans="1:6" ht="12.75">
      <c r="A19" s="18" t="s">
        <v>107</v>
      </c>
      <c r="B19" s="44">
        <f>B18-10*LOG10(B26)</f>
        <v>-13.891660843645326</v>
      </c>
      <c r="C19" s="44">
        <f>C18-10*LOG10(C26)</f>
        <v>-13.891660843645326</v>
      </c>
      <c r="D19" s="44">
        <f>D18-10*LOG10(D26)</f>
        <v>-13.891660843645326</v>
      </c>
      <c r="E19" s="44">
        <f>E18-10*LOG10(E26)</f>
        <v>-13.891660843645326</v>
      </c>
      <c r="F19" s="44">
        <f>F18-10*LOG10(F26)</f>
        <v>-43.891660843645326</v>
      </c>
    </row>
    <row r="20" spans="1:6" ht="12.75">
      <c r="A20" s="18" t="s">
        <v>106</v>
      </c>
      <c r="B20" s="44">
        <f>B18+23-10*LOG10(B26/50)</f>
        <v>26.098039199714865</v>
      </c>
      <c r="C20" s="44">
        <f>C18+23-10*LOG10(C26/50)</f>
        <v>26.098039199714865</v>
      </c>
      <c r="D20" s="44">
        <f>D18+23-10*LOG10(D26/50)</f>
        <v>26.098039199714865</v>
      </c>
      <c r="E20" s="44">
        <f>E18+23-10*LOG10(E26/50)</f>
        <v>26.098039199714865</v>
      </c>
      <c r="F20" s="44">
        <f>F18+23-10*LOG10(F26/50)</f>
        <v>-3.901960800285135</v>
      </c>
    </row>
    <row r="21" spans="1:6" ht="12.75">
      <c r="A21" t="s">
        <v>53</v>
      </c>
      <c r="B21" s="6">
        <v>20</v>
      </c>
      <c r="C21" s="6">
        <v>20</v>
      </c>
      <c r="D21" s="6">
        <v>20</v>
      </c>
      <c r="E21" s="6">
        <v>20</v>
      </c>
      <c r="F21" s="6">
        <v>20</v>
      </c>
    </row>
    <row r="22" spans="1:6" ht="12.75">
      <c r="A22" t="s">
        <v>44</v>
      </c>
      <c r="B22" s="6">
        <v>-22</v>
      </c>
      <c r="C22" s="6">
        <v>-22</v>
      </c>
      <c r="D22" s="6">
        <v>-22</v>
      </c>
      <c r="E22" s="6">
        <v>-22</v>
      </c>
      <c r="F22" s="6">
        <v>-22</v>
      </c>
    </row>
    <row r="23" spans="1:6" ht="12.75">
      <c r="A23" t="s">
        <v>54</v>
      </c>
      <c r="B23" s="6">
        <v>-10</v>
      </c>
      <c r="C23" s="6">
        <v>-10</v>
      </c>
      <c r="D23" s="6">
        <v>-10</v>
      </c>
      <c r="E23" s="6">
        <v>-10</v>
      </c>
      <c r="F23" s="6">
        <v>-10</v>
      </c>
    </row>
    <row r="24" spans="1:6" ht="12.75">
      <c r="A24" t="s">
        <v>21</v>
      </c>
      <c r="B24" s="6">
        <v>13</v>
      </c>
      <c r="C24" s="6">
        <v>13</v>
      </c>
      <c r="D24" s="6">
        <v>13</v>
      </c>
      <c r="E24" s="6">
        <v>13</v>
      </c>
      <c r="F24" s="6">
        <v>13</v>
      </c>
    </row>
    <row r="25" spans="1:6" ht="12.75">
      <c r="A25" t="s">
        <v>7</v>
      </c>
      <c r="B25" s="6">
        <v>1.8</v>
      </c>
      <c r="C25" s="6">
        <v>1.8</v>
      </c>
      <c r="D25" s="6">
        <v>1.8</v>
      </c>
      <c r="E25" s="6">
        <v>1.8</v>
      </c>
      <c r="F25" s="6">
        <v>1.8</v>
      </c>
    </row>
    <row r="26" spans="1:6" ht="12.75">
      <c r="A26" t="s">
        <v>8</v>
      </c>
      <c r="B26" s="6">
        <v>2450</v>
      </c>
      <c r="C26" s="6">
        <v>2450</v>
      </c>
      <c r="D26" s="6">
        <v>2450</v>
      </c>
      <c r="E26" s="6">
        <v>2450</v>
      </c>
      <c r="F26" s="6">
        <v>2450</v>
      </c>
    </row>
    <row r="27" spans="1:6" ht="12.75">
      <c r="A27" s="10" t="s">
        <v>55</v>
      </c>
      <c r="B27" s="1">
        <f>B18+B22-B24</f>
        <v>-15</v>
      </c>
      <c r="C27" s="1">
        <f>C18+C22-C24</f>
        <v>-15</v>
      </c>
      <c r="D27" s="1">
        <f>D18+D22-D24</f>
        <v>-15</v>
      </c>
      <c r="E27" s="1">
        <f>E18+E22-E24</f>
        <v>-15</v>
      </c>
      <c r="F27" s="1">
        <f>F18+F22-F24</f>
        <v>-45</v>
      </c>
    </row>
    <row r="28" spans="1:6" ht="12.75">
      <c r="A28" s="10" t="s">
        <v>56</v>
      </c>
      <c r="B28" s="1">
        <f>B18-B21+B23</f>
        <v>-10</v>
      </c>
      <c r="C28" s="1">
        <f>C18-C21+C23</f>
        <v>-10</v>
      </c>
      <c r="D28" s="1">
        <f>D18-D21+D23</f>
        <v>-10</v>
      </c>
      <c r="E28" s="1">
        <f>E18-E21+E23</f>
        <v>-10</v>
      </c>
      <c r="F28" s="1">
        <f>F18-F21+F23</f>
        <v>-40</v>
      </c>
    </row>
    <row r="29" spans="1:6" ht="12.75">
      <c r="A29" s="10" t="s">
        <v>57</v>
      </c>
      <c r="B29" s="4">
        <f>10*LOG10(10^(B27/10)+10^(B28/10))</f>
        <v>-8.806689519339056</v>
      </c>
      <c r="C29" s="4">
        <f>10*LOG10(10^(C27/10)+10^(C28/10))</f>
        <v>-8.806689519339056</v>
      </c>
      <c r="D29" s="4">
        <f>10*LOG10(10^(D27/10)+10^(D28/10))</f>
        <v>-8.806689519339056</v>
      </c>
      <c r="E29" s="4">
        <f>10*LOG10(10^(E27/10)+10^(E28/10))</f>
        <v>-8.806689519339056</v>
      </c>
      <c r="F29" s="4">
        <f>10*LOG10(10^(F27/10)+10^(F28/10))</f>
        <v>-38.80668951933905</v>
      </c>
    </row>
    <row r="30" spans="1:7" s="17" customFormat="1" ht="12.75">
      <c r="A30" s="45" t="s">
        <v>111</v>
      </c>
      <c r="B30" s="46">
        <f>B29-10*LOG10(B26)</f>
        <v>-42.698350362984385</v>
      </c>
      <c r="C30" s="46">
        <f>C29-10*LOG10(C26)</f>
        <v>-42.698350362984385</v>
      </c>
      <c r="D30" s="46">
        <f>D29-10*LOG10(D26)</f>
        <v>-42.698350362984385</v>
      </c>
      <c r="E30" s="46">
        <f>E29-10*LOG10(E26)</f>
        <v>-42.698350362984385</v>
      </c>
      <c r="F30" s="46">
        <f>F29-10*LOG10(F26)</f>
        <v>-72.69835036298437</v>
      </c>
      <c r="G30" s="43" t="s">
        <v>110</v>
      </c>
    </row>
    <row r="31" spans="1:6" ht="12.75">
      <c r="A31" s="10" t="s">
        <v>17</v>
      </c>
      <c r="B31" s="4">
        <f>IF(B6&lt;B25,10*LOG10(B25/B26),10*LOG10(B6/B26))</f>
        <v>-19.42008053022313</v>
      </c>
      <c r="C31" s="4">
        <f>IF(C6&lt;C25,10*LOG10(C25/C26),10*LOG10(C6/C26))</f>
        <v>-19.42008053022313</v>
      </c>
      <c r="D31" s="4">
        <f>IF(D6&lt;D25,10*LOG10(D25/D26),10*LOG10(D6/D26))</f>
        <v>-19.42008053022313</v>
      </c>
      <c r="E31" s="4">
        <f>IF(E6&lt;E25,10*LOG10(E25/E26),10*LOG10(E6/E26))</f>
        <v>-19.42008053022313</v>
      </c>
      <c r="F31" s="4">
        <f>IF(F6&lt;F25,10*LOG10(F25/F26),10*LOG10(F6/F26))</f>
        <v>-31.33893579261226</v>
      </c>
    </row>
    <row r="32" spans="2:3" ht="12.75">
      <c r="B32" s="4"/>
      <c r="C32" s="4"/>
    </row>
    <row r="33" ht="12.75">
      <c r="A33" s="5" t="s">
        <v>10</v>
      </c>
    </row>
    <row r="34" spans="1:6" ht="12.75">
      <c r="A34" s="10" t="s">
        <v>15</v>
      </c>
      <c r="B34" s="4">
        <f>B29-B14+B31</f>
        <v>126.13164622580665</v>
      </c>
      <c r="C34" s="4">
        <f>C29-C14+C31</f>
        <v>133.03164622580664</v>
      </c>
      <c r="D34" s="4">
        <f>D29-D14+D31</f>
        <v>100.13164622580663</v>
      </c>
      <c r="E34" s="4">
        <f>E29-E14+E31</f>
        <v>71.13164622580663</v>
      </c>
      <c r="F34" s="4">
        <f>F29-F14+F31</f>
        <v>121.95437468804869</v>
      </c>
    </row>
    <row r="35" spans="1:6" ht="12.75">
      <c r="A35" s="10" t="s">
        <v>11</v>
      </c>
      <c r="B35" s="9">
        <f>10^((B34-32.44-20*LOG10(B5))/20)</f>
        <v>1.9348277279406991</v>
      </c>
      <c r="C35" s="9">
        <f>10^((C34-32.44-20*LOG10(C5))/20)</f>
        <v>4.281957008703854</v>
      </c>
      <c r="D35" s="9">
        <f>10^((D34-32.44-20*LOG10(D5))/20)</f>
        <v>0.09697109565119373</v>
      </c>
      <c r="E35" s="9">
        <f>10^((E34-32.44-20*LOG10(E5))/20)</f>
        <v>0.003440664310569328</v>
      </c>
      <c r="F35" s="9">
        <f>10^((F34-32.44-20*LOG10(F5))/20)</f>
        <v>1.1961309439206385</v>
      </c>
    </row>
    <row r="37" ht="12.75">
      <c r="A37" s="5" t="s">
        <v>150</v>
      </c>
    </row>
    <row r="38" spans="1:3" ht="12.75">
      <c r="A38" s="10" t="s">
        <v>15</v>
      </c>
      <c r="B38" s="4">
        <f>B29-B15+B31</f>
        <v>85.13164622580663</v>
      </c>
      <c r="C38" s="4">
        <f>C29-C15+C31</f>
        <v>85.63164622580663</v>
      </c>
    </row>
    <row r="39" spans="1:3" ht="12.75">
      <c r="A39" s="10" t="s">
        <v>11</v>
      </c>
      <c r="B39" s="9">
        <f>10^((B38-32.44-20*LOG10(B5))/20)</f>
        <v>0.01724417027654327</v>
      </c>
      <c r="C39" s="9">
        <f>10^((C38-32.44-20*LOG10(C5))/20)</f>
        <v>0.01826595160301995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E36"/>
  <sheetViews>
    <sheetView workbookViewId="0" topLeftCell="A1">
      <selection activeCell="A4" sqref="A4"/>
    </sheetView>
  </sheetViews>
  <sheetFormatPr defaultColWidth="9.140625" defaultRowHeight="12.75"/>
  <cols>
    <col min="1" max="1" width="52.8515625" style="0" customWidth="1"/>
    <col min="2" max="4" width="14.7109375" style="0" customWidth="1"/>
    <col min="5" max="5" width="32.57421875" style="0" customWidth="1"/>
  </cols>
  <sheetData>
    <row r="4" spans="1:4" ht="12.75">
      <c r="A4" s="5" t="s">
        <v>2</v>
      </c>
      <c r="B4" s="7" t="s">
        <v>49</v>
      </c>
      <c r="C4" s="7" t="s">
        <v>50</v>
      </c>
      <c r="D4" s="7" t="s">
        <v>51</v>
      </c>
    </row>
    <row r="5" spans="1:4" ht="12.75">
      <c r="A5" s="2" t="s">
        <v>45</v>
      </c>
      <c r="B5" s="6">
        <v>59</v>
      </c>
      <c r="C5" s="6">
        <v>63</v>
      </c>
      <c r="D5" s="6">
        <v>64</v>
      </c>
    </row>
    <row r="6" spans="1:4" ht="12.75">
      <c r="A6" t="s">
        <v>5</v>
      </c>
      <c r="B6" s="6">
        <v>2500</v>
      </c>
      <c r="C6" s="6">
        <v>100</v>
      </c>
      <c r="D6" s="6">
        <v>120</v>
      </c>
    </row>
    <row r="7" spans="1:4" ht="12.75">
      <c r="A7" t="s">
        <v>4</v>
      </c>
      <c r="B7" s="6">
        <v>10</v>
      </c>
      <c r="C7" s="6">
        <v>6</v>
      </c>
      <c r="D7" s="6">
        <v>8</v>
      </c>
    </row>
    <row r="8" spans="1:4" ht="12.75">
      <c r="A8" t="s">
        <v>0</v>
      </c>
      <c r="B8" s="6">
        <v>-20</v>
      </c>
      <c r="C8" s="6">
        <v>-20</v>
      </c>
      <c r="D8" s="6">
        <v>-20</v>
      </c>
    </row>
    <row r="9" spans="1:4" ht="12.75">
      <c r="A9" t="s">
        <v>6</v>
      </c>
      <c r="B9" s="8">
        <v>38</v>
      </c>
      <c r="C9" s="6">
        <v>38</v>
      </c>
      <c r="D9" s="6">
        <v>23</v>
      </c>
    </row>
    <row r="10" spans="1:4" ht="12.75">
      <c r="A10" s="2" t="s">
        <v>12</v>
      </c>
      <c r="B10" s="8">
        <v>0</v>
      </c>
      <c r="C10" s="6">
        <v>5</v>
      </c>
      <c r="D10" s="6">
        <v>0</v>
      </c>
    </row>
    <row r="11" spans="1:4" ht="12.75">
      <c r="A11" s="10" t="s">
        <v>14</v>
      </c>
      <c r="B11" s="4">
        <f>10*LOG10(1.38*1E-23*300*B6*1000000)+B7+30</f>
        <v>-69.85059650207063</v>
      </c>
      <c r="C11" s="4">
        <f>10*LOG10(1.38*1E-23*300*C6*1000000)+C7+30</f>
        <v>-87.829996588791</v>
      </c>
      <c r="D11" s="4">
        <f>10*LOG10(1.38*1E-23*300*D6*1000000)+D7+30</f>
        <v>-85.03818412831475</v>
      </c>
    </row>
    <row r="12" spans="1:4" ht="12.75">
      <c r="A12" s="10" t="s">
        <v>18</v>
      </c>
      <c r="B12" s="4">
        <f>B8+B11</f>
        <v>-89.85059650207063</v>
      </c>
      <c r="C12" s="4">
        <f>C8+C11</f>
        <v>-107.829996588791</v>
      </c>
      <c r="D12" s="4">
        <f>D8+D11</f>
        <v>-105.03818412831475</v>
      </c>
    </row>
    <row r="13" spans="1:4" ht="12.75">
      <c r="A13" s="10" t="s">
        <v>19</v>
      </c>
      <c r="B13" s="4">
        <f>B12-B9+B10</f>
        <v>-127.85059650207063</v>
      </c>
      <c r="C13" s="4">
        <f>C12-C9+C10</f>
        <v>-140.829996588791</v>
      </c>
      <c r="D13" s="4">
        <f>D12-D9+D10</f>
        <v>-128.03818412831475</v>
      </c>
    </row>
    <row r="15" spans="1:2" ht="12.75">
      <c r="A15" s="5" t="s">
        <v>23</v>
      </c>
      <c r="B15" s="3"/>
    </row>
    <row r="16" spans="1:4" ht="12.75">
      <c r="A16" t="s">
        <v>166</v>
      </c>
      <c r="B16" s="6">
        <v>37</v>
      </c>
      <c r="C16" s="6">
        <v>37</v>
      </c>
      <c r="D16" s="6">
        <v>37</v>
      </c>
    </row>
    <row r="17" spans="1:4" ht="12.75">
      <c r="A17" s="18" t="s">
        <v>107</v>
      </c>
      <c r="B17" s="44">
        <f>B16-10*LOG10(B24)</f>
        <v>-1.4509804001425692</v>
      </c>
      <c r="C17" s="44">
        <f>C16-10*LOG10(C24)</f>
        <v>-1.4509804001425692</v>
      </c>
      <c r="D17" s="44">
        <f>D16-10*LOG10(D24)</f>
        <v>-1.4509804001425692</v>
      </c>
    </row>
    <row r="18" spans="1:4" ht="12.75">
      <c r="A18" s="18" t="s">
        <v>106</v>
      </c>
      <c r="B18" s="44">
        <f>B16+20-10*LOG10(B24/50)</f>
        <v>35.53871964321762</v>
      </c>
      <c r="C18" s="44">
        <f>C16+20-10*LOG10(C24/50)</f>
        <v>35.53871964321762</v>
      </c>
      <c r="D18" s="44">
        <f>D16+20-10*LOG10(D24/50)</f>
        <v>35.53871964321762</v>
      </c>
    </row>
    <row r="19" spans="1:4" ht="12.75">
      <c r="A19" t="s">
        <v>53</v>
      </c>
      <c r="B19" s="6">
        <v>34</v>
      </c>
      <c r="C19" s="6">
        <v>34</v>
      </c>
      <c r="D19" s="6">
        <v>34</v>
      </c>
    </row>
    <row r="20" spans="1:4" ht="12.75">
      <c r="A20" t="s">
        <v>44</v>
      </c>
      <c r="B20" s="6">
        <v>-30</v>
      </c>
      <c r="C20" s="6">
        <v>-30</v>
      </c>
      <c r="D20" s="6">
        <v>-30</v>
      </c>
    </row>
    <row r="21" spans="1:4" ht="12.75">
      <c r="A21" t="s">
        <v>54</v>
      </c>
      <c r="B21" s="6">
        <v>-10</v>
      </c>
      <c r="C21" s="6">
        <v>-10</v>
      </c>
      <c r="D21" s="6">
        <v>-10</v>
      </c>
    </row>
    <row r="22" spans="1:4" ht="12.75">
      <c r="A22" t="s">
        <v>21</v>
      </c>
      <c r="B22" s="6">
        <v>13</v>
      </c>
      <c r="C22" s="6">
        <v>13</v>
      </c>
      <c r="D22" s="6">
        <v>13</v>
      </c>
    </row>
    <row r="23" spans="1:4" ht="12.75">
      <c r="A23" t="s">
        <v>7</v>
      </c>
      <c r="B23" s="6">
        <v>1.8</v>
      </c>
      <c r="C23" s="6">
        <v>1.8</v>
      </c>
      <c r="D23" s="6">
        <v>1.8</v>
      </c>
    </row>
    <row r="24" spans="1:4" ht="12.75">
      <c r="A24" t="s">
        <v>8</v>
      </c>
      <c r="B24" s="6">
        <v>7000</v>
      </c>
      <c r="C24" s="6">
        <v>7000</v>
      </c>
      <c r="D24" s="6">
        <v>7000</v>
      </c>
    </row>
    <row r="25" spans="1:4" ht="12.75">
      <c r="A25" s="10" t="s">
        <v>55</v>
      </c>
      <c r="B25" s="1">
        <f>B16+B20-B22</f>
        <v>-6</v>
      </c>
      <c r="C25" s="1">
        <f>C16+C20-C22</f>
        <v>-6</v>
      </c>
      <c r="D25" s="1">
        <f>D16+D20-D22</f>
        <v>-6</v>
      </c>
    </row>
    <row r="26" spans="1:4" ht="12.75">
      <c r="A26" s="10" t="s">
        <v>56</v>
      </c>
      <c r="B26" s="1">
        <f>B16-B19+B21</f>
        <v>-7</v>
      </c>
      <c r="C26" s="1">
        <f>C16-C19+C21</f>
        <v>-7</v>
      </c>
      <c r="D26" s="1">
        <f>D16-D19+D21</f>
        <v>-7</v>
      </c>
    </row>
    <row r="27" spans="1:4" ht="12.75">
      <c r="A27" s="10" t="s">
        <v>57</v>
      </c>
      <c r="B27" s="4">
        <f>10*LOG10(10^(B25/10)+10^(B26/10))</f>
        <v>-3.460981089561328</v>
      </c>
      <c r="C27" s="4">
        <f>10*LOG10(10^(C25/10)+10^(C26/10))</f>
        <v>-3.460981089561328</v>
      </c>
      <c r="D27" s="4">
        <f>10*LOG10(10^(D25/10)+10^(D26/10))</f>
        <v>-3.460981089561328</v>
      </c>
    </row>
    <row r="28" spans="1:5" ht="12.75">
      <c r="A28" s="45" t="s">
        <v>111</v>
      </c>
      <c r="B28" s="46">
        <f>B27-10*LOG10(B24)</f>
        <v>-41.9119614897039</v>
      </c>
      <c r="C28" s="46">
        <f>C27-10*LOG10(C24)</f>
        <v>-41.9119614897039</v>
      </c>
      <c r="D28" s="46">
        <f>D27-10*LOG10(D24)</f>
        <v>-41.9119614897039</v>
      </c>
      <c r="E28" s="43" t="s">
        <v>110</v>
      </c>
    </row>
    <row r="29" spans="1:4" ht="12.75">
      <c r="A29" s="10" t="s">
        <v>17</v>
      </c>
      <c r="B29" s="4">
        <f>IF(B6&lt;B23,10*LOG10(B23/B24),10*LOG10(B6/B24))</f>
        <v>-4.4715803134221925</v>
      </c>
      <c r="C29" s="4">
        <f>IF(C6&lt;C23,10*LOG10(C23/C24),10*LOG10(C6/C24))</f>
        <v>-18.45098040014257</v>
      </c>
      <c r="D29" s="4">
        <f>IF(D6&lt;D23,10*LOG10(D23/D24),10*LOG10(D6/D24))</f>
        <v>-17.65916793966632</v>
      </c>
    </row>
    <row r="30" ht="12.75">
      <c r="B30" s="4"/>
    </row>
    <row r="31" ht="12.75">
      <c r="A31" s="5" t="s">
        <v>10</v>
      </c>
    </row>
    <row r="32" spans="1:4" ht="12.75">
      <c r="A32" s="10" t="s">
        <v>15</v>
      </c>
      <c r="B32" s="4">
        <f>B27-B13+B29</f>
        <v>119.9180350990871</v>
      </c>
      <c r="C32" s="4">
        <f>C27-C13+C29</f>
        <v>118.9180350990871</v>
      </c>
      <c r="D32" s="4">
        <f>D27-D13+D29</f>
        <v>106.9180350990871</v>
      </c>
    </row>
    <row r="33" spans="1:4" ht="12.75">
      <c r="A33" s="16" t="s">
        <v>11</v>
      </c>
      <c r="B33" s="15">
        <f>10^((B32-32.44-20*LOG10(B5*1000))/20)</f>
        <v>0.4009126348128433</v>
      </c>
      <c r="C33" s="15">
        <f>10^((C32-32.44-20*LOG10(C5*1000))/20)</f>
        <v>0.33462717383032453</v>
      </c>
      <c r="D33" s="15">
        <f>10^((D32-32.44-20*LOG10(D5*1000))/20)</f>
        <v>0.08274119347844337</v>
      </c>
    </row>
    <row r="34" spans="1:4" ht="12.75">
      <c r="A34" s="16" t="s">
        <v>46</v>
      </c>
      <c r="B34">
        <v>10</v>
      </c>
      <c r="C34">
        <v>11</v>
      </c>
      <c r="D34">
        <v>10</v>
      </c>
    </row>
    <row r="35" spans="1:4" ht="12.75">
      <c r="A35" s="10" t="s">
        <v>47</v>
      </c>
      <c r="B35" s="1">
        <v>0.29</v>
      </c>
      <c r="C35" s="1">
        <v>0.245</v>
      </c>
      <c r="D35" s="1">
        <v>0.075</v>
      </c>
    </row>
    <row r="36" spans="1:4" s="17" customFormat="1" ht="12.75">
      <c r="A36" s="18" t="s">
        <v>48</v>
      </c>
      <c r="B36" s="19">
        <f>B32-32.44-20*LOG10(B5*1000)-20*LOG10(B35)-B35*B34</f>
        <v>-0.08696509173489231</v>
      </c>
      <c r="C36" s="19">
        <f>C32-32.44-20*LOG10(C5*1000)-20*LOG10(C35)-C35*C34</f>
        <v>0.01290242272481601</v>
      </c>
      <c r="D36" s="19">
        <f>D32-32.44-20*LOG10(D5*1000)-20*LOG10(D35)-D35*D34</f>
        <v>0.10321035157535619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2"/>
  <sheetViews>
    <sheetView workbookViewId="0" topLeftCell="A1">
      <selection activeCell="A13" sqref="A13"/>
    </sheetView>
  </sheetViews>
  <sheetFormatPr defaultColWidth="9.140625" defaultRowHeight="12.75"/>
  <cols>
    <col min="1" max="1" width="53.7109375" style="0" customWidth="1"/>
    <col min="2" max="4" width="14.7109375" style="0" customWidth="1"/>
    <col min="5" max="5" width="24.8515625" style="0" customWidth="1"/>
  </cols>
  <sheetData>
    <row r="3" spans="1:4" ht="12.75">
      <c r="A3" s="5" t="s">
        <v>2</v>
      </c>
      <c r="B3" s="11" t="s">
        <v>3</v>
      </c>
      <c r="C3" s="7" t="s">
        <v>152</v>
      </c>
      <c r="D3" s="7" t="s">
        <v>153</v>
      </c>
    </row>
    <row r="4" spans="1:4" ht="12.75">
      <c r="A4" s="2" t="s">
        <v>45</v>
      </c>
      <c r="B4" s="6">
        <v>76</v>
      </c>
      <c r="C4" s="6">
        <v>77</v>
      </c>
      <c r="D4" s="6">
        <v>89</v>
      </c>
    </row>
    <row r="5" spans="1:4" ht="12.75">
      <c r="A5" t="s">
        <v>5</v>
      </c>
      <c r="B5" s="6">
        <v>1250</v>
      </c>
      <c r="C5" s="6">
        <v>1</v>
      </c>
      <c r="D5" s="6">
        <v>8000</v>
      </c>
    </row>
    <row r="6" spans="1:4" ht="12.75">
      <c r="A6" t="s">
        <v>4</v>
      </c>
      <c r="B6" s="6">
        <v>10</v>
      </c>
      <c r="C6" s="13" t="s">
        <v>22</v>
      </c>
      <c r="D6" s="13" t="s">
        <v>22</v>
      </c>
    </row>
    <row r="7" spans="1:4" ht="12.75">
      <c r="A7" t="s">
        <v>0</v>
      </c>
      <c r="B7" s="6">
        <v>-20</v>
      </c>
      <c r="C7" s="13" t="s">
        <v>22</v>
      </c>
      <c r="D7" s="13" t="s">
        <v>22</v>
      </c>
    </row>
    <row r="8" spans="1:4" ht="12.75">
      <c r="A8" t="s">
        <v>6</v>
      </c>
      <c r="B8" s="8">
        <v>38</v>
      </c>
      <c r="C8" s="6">
        <v>0</v>
      </c>
      <c r="D8" s="6">
        <v>0</v>
      </c>
    </row>
    <row r="9" spans="1:4" ht="12.75">
      <c r="A9" s="2" t="s">
        <v>12</v>
      </c>
      <c r="B9" s="8">
        <v>0</v>
      </c>
      <c r="C9" s="6">
        <v>0</v>
      </c>
      <c r="D9" s="6">
        <v>0</v>
      </c>
    </row>
    <row r="10" spans="1:4" ht="12.75">
      <c r="A10" s="10" t="s">
        <v>14</v>
      </c>
      <c r="B10" s="4">
        <f>10*LOG10(1.38*1E-23*300*B5*1000000)+B6+30</f>
        <v>-72.86089645871044</v>
      </c>
      <c r="C10" s="14" t="s">
        <v>22</v>
      </c>
      <c r="D10" s="14" t="s">
        <v>22</v>
      </c>
    </row>
    <row r="11" spans="1:4" ht="12.75">
      <c r="A11" s="10" t="s">
        <v>18</v>
      </c>
      <c r="B11" s="4">
        <f>B7+B10</f>
        <v>-92.86089645871044</v>
      </c>
      <c r="C11" s="14" t="s">
        <v>22</v>
      </c>
      <c r="D11" s="14" t="s">
        <v>22</v>
      </c>
    </row>
    <row r="12" spans="1:4" ht="12.75">
      <c r="A12" s="10" t="s">
        <v>19</v>
      </c>
      <c r="B12" s="4">
        <f>B11-B8+B9</f>
        <v>-130.86089645871044</v>
      </c>
      <c r="C12" s="4">
        <v>-179</v>
      </c>
      <c r="D12" s="4">
        <v>-159</v>
      </c>
    </row>
    <row r="14" spans="1:2" ht="12.75">
      <c r="A14" s="5" t="s">
        <v>23</v>
      </c>
      <c r="B14" s="3"/>
    </row>
    <row r="15" spans="1:5" ht="12.75">
      <c r="A15" t="s">
        <v>166</v>
      </c>
      <c r="B15" s="6">
        <v>37</v>
      </c>
      <c r="C15" s="6">
        <v>37</v>
      </c>
      <c r="D15" s="6">
        <v>17</v>
      </c>
      <c r="E15" t="s">
        <v>154</v>
      </c>
    </row>
    <row r="16" spans="1:4" ht="12.75">
      <c r="A16" s="18" t="s">
        <v>107</v>
      </c>
      <c r="B16" s="44">
        <f>B15-10*LOG10(B23)</f>
        <v>-3</v>
      </c>
      <c r="C16" s="44">
        <f>C15-10*LOG10(C23)</f>
        <v>-3</v>
      </c>
      <c r="D16" s="44">
        <f>D15-10*LOG10(D23)</f>
        <v>-23</v>
      </c>
    </row>
    <row r="17" spans="1:4" ht="12.75">
      <c r="A17" s="18" t="s">
        <v>106</v>
      </c>
      <c r="B17" s="44">
        <f>B15+20-10*LOG10(B23/50)</f>
        <v>33.98970004336019</v>
      </c>
      <c r="C17" s="44">
        <f>C15+20-10*LOG10(C23/50)</f>
        <v>33.98970004336019</v>
      </c>
      <c r="D17" s="44">
        <f>D15+20-10*LOG10(D23/50)</f>
        <v>13.989700043360187</v>
      </c>
    </row>
    <row r="18" spans="1:4" ht="12.75">
      <c r="A18" t="s">
        <v>53</v>
      </c>
      <c r="B18" s="6">
        <v>30</v>
      </c>
      <c r="C18" s="6">
        <v>30</v>
      </c>
      <c r="D18" s="6">
        <v>30</v>
      </c>
    </row>
    <row r="19" spans="1:4" ht="12.75">
      <c r="A19" t="s">
        <v>44</v>
      </c>
      <c r="B19" s="6">
        <v>-32</v>
      </c>
      <c r="C19" s="6">
        <v>-32</v>
      </c>
      <c r="D19" s="6">
        <v>-32</v>
      </c>
    </row>
    <row r="20" spans="1:4" ht="12.75">
      <c r="A20" t="s">
        <v>54</v>
      </c>
      <c r="B20" s="6">
        <v>-10</v>
      </c>
      <c r="C20" s="6">
        <v>-10</v>
      </c>
      <c r="D20" s="6">
        <v>-10</v>
      </c>
    </row>
    <row r="21" spans="1:4" ht="12.75">
      <c r="A21" t="s">
        <v>21</v>
      </c>
      <c r="B21" s="6">
        <v>13</v>
      </c>
      <c r="C21" s="6">
        <v>13</v>
      </c>
      <c r="D21" s="6">
        <v>13</v>
      </c>
    </row>
    <row r="22" spans="1:4" ht="12.75">
      <c r="A22" t="s">
        <v>7</v>
      </c>
      <c r="B22" s="6">
        <v>1.8</v>
      </c>
      <c r="C22" s="6">
        <v>1.8</v>
      </c>
      <c r="D22" s="6">
        <v>1.8</v>
      </c>
    </row>
    <row r="23" spans="1:4" ht="12.75">
      <c r="A23" t="s">
        <v>8</v>
      </c>
      <c r="B23" s="6">
        <v>10000</v>
      </c>
      <c r="C23" s="6">
        <v>10000</v>
      </c>
      <c r="D23" s="6">
        <v>10000</v>
      </c>
    </row>
    <row r="24" spans="1:4" ht="12.75">
      <c r="A24" s="10" t="s">
        <v>55</v>
      </c>
      <c r="B24" s="1">
        <f>B15+B19-B21</f>
        <v>-8</v>
      </c>
      <c r="C24" s="1">
        <f>C15+C19-C21</f>
        <v>-8</v>
      </c>
      <c r="D24" s="1">
        <f>D15+D19-D21</f>
        <v>-28</v>
      </c>
    </row>
    <row r="25" spans="1:4" ht="12.75">
      <c r="A25" s="10" t="s">
        <v>56</v>
      </c>
      <c r="B25" s="1">
        <f>B15-B18+B20</f>
        <v>-3</v>
      </c>
      <c r="C25" s="1">
        <f>C15-C18+C20</f>
        <v>-3</v>
      </c>
      <c r="D25" s="1">
        <f>D15-D18+D20</f>
        <v>-23</v>
      </c>
    </row>
    <row r="26" spans="1:4" ht="12.75">
      <c r="A26" s="10" t="s">
        <v>57</v>
      </c>
      <c r="B26" s="4">
        <f>10*LOG10(10^(B24/10)+10^(B25/10))</f>
        <v>-1.8066895193390549</v>
      </c>
      <c r="C26" s="4">
        <f>10*LOG10(10^(C24/10)+10^(C25/10))</f>
        <v>-1.8066895193390549</v>
      </c>
      <c r="D26" s="4">
        <f>10*LOG10(10^(D24/10)+10^(D25/10))</f>
        <v>-21.80668951933906</v>
      </c>
    </row>
    <row r="27" spans="1:5" ht="12.75">
      <c r="A27" s="45" t="s">
        <v>111</v>
      </c>
      <c r="B27" s="46">
        <f>B26-10*LOG10(B23)</f>
        <v>-41.80668951933905</v>
      </c>
      <c r="C27" s="46">
        <f>C26-10*LOG10(C23)</f>
        <v>-41.80668951933905</v>
      </c>
      <c r="D27" s="46">
        <f>D26-10*LOG10(D23)</f>
        <v>-61.80668951933906</v>
      </c>
      <c r="E27" s="43" t="s">
        <v>110</v>
      </c>
    </row>
    <row r="28" spans="1:4" ht="12.75">
      <c r="A28" s="10" t="s">
        <v>17</v>
      </c>
      <c r="B28" s="4">
        <f>IF(B5&lt;B22,10*LOG10(B22/B23),10*LOG10(B5/B23))</f>
        <v>-9.030899869919436</v>
      </c>
      <c r="C28" s="4">
        <f>IF(C5&lt;C22,10*LOG10(C22/C23),10*LOG10(C5/C23))</f>
        <v>-37.44727494896694</v>
      </c>
      <c r="D28" s="4">
        <f>IF(D5&lt;D22,10*LOG10(D22/D23),10*LOG10(D5/D23))</f>
        <v>-0.969100130080564</v>
      </c>
    </row>
    <row r="29" ht="12.75">
      <c r="B29" s="4"/>
    </row>
    <row r="30" ht="12.75">
      <c r="A30" s="5" t="s">
        <v>10</v>
      </c>
    </row>
    <row r="31" spans="1:4" ht="12.75">
      <c r="A31" s="10" t="s">
        <v>15</v>
      </c>
      <c r="B31" s="4">
        <f>B26-B12+B28</f>
        <v>120.02330706945196</v>
      </c>
      <c r="C31" s="4">
        <f>C26-C12+C28</f>
        <v>139.74603553169402</v>
      </c>
      <c r="D31" s="4">
        <f>D26-D12+D28</f>
        <v>136.2242103505804</v>
      </c>
    </row>
    <row r="32" spans="1:4" ht="12.75">
      <c r="A32" s="10" t="s">
        <v>11</v>
      </c>
      <c r="B32" s="9">
        <f>10^((B31-32.44-20*LOG10(B4*1000))/20)</f>
        <v>0.31502988973626256</v>
      </c>
      <c r="C32" s="9">
        <f>10^((C31-32.44-20*LOG10(C4*1000))/20)</f>
        <v>3.011695440166555</v>
      </c>
      <c r="D32" s="9">
        <f>10^((D31-32.44-20*LOG10(D4*1000))/20)</f>
        <v>1.7370827632421366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F41" sqref="F41"/>
    </sheetView>
  </sheetViews>
  <sheetFormatPr defaultColWidth="9.140625" defaultRowHeight="12.75"/>
  <cols>
    <col min="1" max="1" width="67.140625" style="0" customWidth="1"/>
  </cols>
  <sheetData>
    <row r="2" spans="1:3" ht="12.75">
      <c r="A2" t="s">
        <v>155</v>
      </c>
      <c r="B2" s="6">
        <v>60</v>
      </c>
      <c r="C2" s="6">
        <v>80</v>
      </c>
    </row>
    <row r="3" spans="1:3" ht="12.75">
      <c r="A3" t="s">
        <v>156</v>
      </c>
      <c r="B3" s="6">
        <v>-15.5</v>
      </c>
      <c r="C3" s="6">
        <v>-17</v>
      </c>
    </row>
    <row r="4" spans="1:3" ht="12.75">
      <c r="A4" t="s">
        <v>157</v>
      </c>
      <c r="B4" s="6">
        <v>34</v>
      </c>
      <c r="C4" s="6">
        <v>35</v>
      </c>
    </row>
    <row r="5" spans="1:3" ht="12.75">
      <c r="A5" t="s">
        <v>158</v>
      </c>
      <c r="B5" s="6">
        <v>5</v>
      </c>
      <c r="C5" s="6">
        <v>5</v>
      </c>
    </row>
    <row r="6" spans="1:3" ht="12.75">
      <c r="A6" t="s">
        <v>21</v>
      </c>
      <c r="B6" s="6">
        <v>12</v>
      </c>
      <c r="C6" s="6">
        <v>12</v>
      </c>
    </row>
    <row r="7" spans="1:3" ht="12.75">
      <c r="A7" t="s">
        <v>159</v>
      </c>
      <c r="B7" s="6">
        <v>50</v>
      </c>
      <c r="C7" s="6">
        <v>50</v>
      </c>
    </row>
    <row r="8" spans="1:3" ht="12.75">
      <c r="A8" t="s">
        <v>160</v>
      </c>
      <c r="B8" s="2">
        <f>300000000/(B2*1000000000)</f>
        <v>0.005</v>
      </c>
      <c r="C8" s="2">
        <f>300000000/(C2*1000000000)</f>
        <v>0.00375</v>
      </c>
    </row>
    <row r="9" spans="1:3" ht="12.75">
      <c r="A9" s="1" t="s">
        <v>161</v>
      </c>
      <c r="B9" s="4">
        <f>B3+B4+20*LOG10(B8/(8*PI()*B7))-B5-B6</f>
        <v>-106.50479719372154</v>
      </c>
      <c r="C9" s="4">
        <f>C3+C4+20*LOG10(C8/(8*PI()*C7))-C5-C6</f>
        <v>-109.50357192588756</v>
      </c>
    </row>
    <row r="10" ht="12.75">
      <c r="A10" s="17" t="s">
        <v>162</v>
      </c>
    </row>
    <row r="11" spans="1:3" ht="12.75">
      <c r="A11" t="s">
        <v>163</v>
      </c>
      <c r="B11">
        <v>-108</v>
      </c>
      <c r="C11">
        <v>-108</v>
      </c>
    </row>
    <row r="12" spans="1:3" ht="12.75">
      <c r="A12" t="s">
        <v>164</v>
      </c>
      <c r="B12">
        <v>-93</v>
      </c>
      <c r="C12">
        <v>-93</v>
      </c>
    </row>
    <row r="14" spans="1:3" ht="12.75">
      <c r="A14" s="1" t="s">
        <v>165</v>
      </c>
      <c r="B14" s="4">
        <f>B9-B12</f>
        <v>-13.504797193721544</v>
      </c>
      <c r="C14" s="4">
        <f>C9-C12</f>
        <v>-16.503571925887556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7" sqref="B7"/>
    </sheetView>
  </sheetViews>
  <sheetFormatPr defaultColWidth="9.140625" defaultRowHeight="12.75"/>
  <cols>
    <col min="1" max="1" width="60.7109375" style="34" customWidth="1"/>
    <col min="2" max="5" width="12.7109375" style="2" customWidth="1"/>
    <col min="6" max="16384" width="9.140625" style="2" customWidth="1"/>
  </cols>
  <sheetData>
    <row r="1" spans="1:5" ht="12.75">
      <c r="A1" s="29" t="s">
        <v>91</v>
      </c>
      <c r="B1" s="20"/>
      <c r="C1" s="20"/>
      <c r="D1" s="20"/>
      <c r="E1" s="20"/>
    </row>
    <row r="2" spans="1:5" ht="12.75">
      <c r="A2" s="29"/>
      <c r="B2" s="20"/>
      <c r="C2" s="20"/>
      <c r="D2" s="20"/>
      <c r="E2" s="20"/>
    </row>
    <row r="3" spans="1:5" ht="12.75">
      <c r="A3" s="38" t="s">
        <v>90</v>
      </c>
      <c r="B3" s="21" t="s">
        <v>41</v>
      </c>
      <c r="C3" s="39"/>
      <c r="D3" s="21" t="s">
        <v>42</v>
      </c>
      <c r="E3" s="21" t="s">
        <v>43</v>
      </c>
    </row>
    <row r="4" spans="1:5" ht="12.75">
      <c r="A4" s="30" t="s">
        <v>26</v>
      </c>
      <c r="B4" s="36"/>
      <c r="C4" s="21" t="s">
        <v>27</v>
      </c>
      <c r="D4" s="36"/>
      <c r="E4" s="36"/>
    </row>
    <row r="5" spans="1:5" ht="12.75">
      <c r="A5" s="31" t="s">
        <v>61</v>
      </c>
      <c r="B5" s="23">
        <v>23.8</v>
      </c>
      <c r="C5" s="22" t="s">
        <v>40</v>
      </c>
      <c r="D5" s="22">
        <f>B5</f>
        <v>23.8</v>
      </c>
      <c r="E5" s="22">
        <f>B5</f>
        <v>23.8</v>
      </c>
    </row>
    <row r="6" spans="1:5" ht="12.75">
      <c r="A6" s="31" t="s">
        <v>62</v>
      </c>
      <c r="B6" s="22">
        <f>3/(10*B5)</f>
        <v>0.012605042016806723</v>
      </c>
      <c r="C6" s="22" t="s">
        <v>63</v>
      </c>
      <c r="D6" s="22">
        <f>B6</f>
        <v>0.012605042016806723</v>
      </c>
      <c r="E6" s="22">
        <f>B6</f>
        <v>0.012605042016806723</v>
      </c>
    </row>
    <row r="7" spans="1:5" ht="12.75">
      <c r="A7" s="30" t="s">
        <v>92</v>
      </c>
      <c r="B7" s="23">
        <v>-33.9</v>
      </c>
      <c r="C7" s="24" t="s">
        <v>30</v>
      </c>
      <c r="D7" s="24">
        <f>B7</f>
        <v>-33.9</v>
      </c>
      <c r="E7" s="24">
        <f>B7</f>
        <v>-33.9</v>
      </c>
    </row>
    <row r="8" spans="1:5" ht="12.75">
      <c r="A8" s="32" t="s">
        <v>65</v>
      </c>
      <c r="B8" s="24">
        <f>B7-30</f>
        <v>-63.9</v>
      </c>
      <c r="C8" s="24" t="s">
        <v>32</v>
      </c>
      <c r="D8" s="24">
        <f>D7-30</f>
        <v>-63.9</v>
      </c>
      <c r="E8" s="24">
        <f>E7-30</f>
        <v>-63.9</v>
      </c>
    </row>
    <row r="9" spans="1:5" ht="12.75">
      <c r="A9" s="32" t="s">
        <v>66</v>
      </c>
      <c r="B9" s="23">
        <v>25</v>
      </c>
      <c r="C9" s="24" t="s">
        <v>35</v>
      </c>
      <c r="D9" s="24">
        <f aca="true" t="shared" si="0" ref="D9:D18">B9</f>
        <v>25</v>
      </c>
      <c r="E9" s="24">
        <f aca="true" t="shared" si="1" ref="E9:E18">B9</f>
        <v>25</v>
      </c>
    </row>
    <row r="10" spans="1:5" ht="12.75">
      <c r="A10" s="30" t="s">
        <v>67</v>
      </c>
      <c r="B10" s="24">
        <f>B8-B9</f>
        <v>-88.9</v>
      </c>
      <c r="C10" s="24" t="s">
        <v>32</v>
      </c>
      <c r="D10" s="24">
        <f t="shared" si="0"/>
        <v>-88.9</v>
      </c>
      <c r="E10" s="24">
        <f t="shared" si="1"/>
        <v>-88.9</v>
      </c>
    </row>
    <row r="11" spans="1:5" ht="12.75">
      <c r="A11" s="32" t="s">
        <v>68</v>
      </c>
      <c r="B11" s="23">
        <v>-10</v>
      </c>
      <c r="C11" s="24" t="s">
        <v>35</v>
      </c>
      <c r="D11" s="24">
        <f t="shared" si="0"/>
        <v>-10</v>
      </c>
      <c r="E11" s="24">
        <f t="shared" si="1"/>
        <v>-10</v>
      </c>
    </row>
    <row r="12" spans="1:5" ht="12.75">
      <c r="A12" s="32" t="s">
        <v>69</v>
      </c>
      <c r="B12" s="24">
        <f>B10+B11</f>
        <v>-98.9</v>
      </c>
      <c r="C12" s="24" t="s">
        <v>32</v>
      </c>
      <c r="D12" s="24">
        <f t="shared" si="0"/>
        <v>-98.9</v>
      </c>
      <c r="E12" s="24">
        <f t="shared" si="1"/>
        <v>-98.9</v>
      </c>
    </row>
    <row r="13" spans="1:5" ht="12.75">
      <c r="A13" s="32" t="s">
        <v>70</v>
      </c>
      <c r="B13" s="23">
        <v>-5</v>
      </c>
      <c r="C13" s="24" t="s">
        <v>31</v>
      </c>
      <c r="D13" s="24">
        <f t="shared" si="0"/>
        <v>-5</v>
      </c>
      <c r="E13" s="24">
        <f t="shared" si="1"/>
        <v>-5</v>
      </c>
    </row>
    <row r="14" spans="1:5" ht="12.75">
      <c r="A14" s="32" t="s">
        <v>71</v>
      </c>
      <c r="B14" s="23">
        <v>-0.95</v>
      </c>
      <c r="C14" s="24" t="s">
        <v>31</v>
      </c>
      <c r="D14" s="24">
        <f t="shared" si="0"/>
        <v>-0.95</v>
      </c>
      <c r="E14" s="24">
        <f t="shared" si="1"/>
        <v>-0.95</v>
      </c>
    </row>
    <row r="15" spans="1:5" ht="12.75">
      <c r="A15" s="32" t="s">
        <v>72</v>
      </c>
      <c r="B15" s="23">
        <v>850</v>
      </c>
      <c r="C15" s="24" t="s">
        <v>33</v>
      </c>
      <c r="D15" s="24">
        <f t="shared" si="0"/>
        <v>850</v>
      </c>
      <c r="E15" s="24">
        <f t="shared" si="1"/>
        <v>850</v>
      </c>
    </row>
    <row r="16" spans="1:5" ht="12.75">
      <c r="A16" s="32" t="s">
        <v>73</v>
      </c>
      <c r="B16" s="24">
        <f>20*LOG(4*PI()*B15*1000/B6)</f>
        <v>178.56168984146478</v>
      </c>
      <c r="C16" s="24" t="s">
        <v>31</v>
      </c>
      <c r="D16" s="24">
        <f t="shared" si="0"/>
        <v>178.56168984146478</v>
      </c>
      <c r="E16" s="24">
        <f t="shared" si="1"/>
        <v>178.56168984146478</v>
      </c>
    </row>
    <row r="17" spans="1:5" ht="25.5">
      <c r="A17" s="30" t="s">
        <v>74</v>
      </c>
      <c r="B17" s="24">
        <f>B8+2*B13+2*B14+20*LOG10(B6/(8*PI()*B15*1000))</f>
        <v>-260.3822897547444</v>
      </c>
      <c r="C17" s="24" t="s">
        <v>32</v>
      </c>
      <c r="D17" s="24">
        <f t="shared" si="0"/>
        <v>-260.3822897547444</v>
      </c>
      <c r="E17" s="24">
        <f t="shared" si="1"/>
        <v>-260.3822897547444</v>
      </c>
    </row>
    <row r="18" spans="1:5" ht="12.75">
      <c r="A18" s="30" t="s">
        <v>75</v>
      </c>
      <c r="B18" s="24">
        <f>B12-B16</f>
        <v>-277.4616898414648</v>
      </c>
      <c r="C18" s="24" t="s">
        <v>32</v>
      </c>
      <c r="D18" s="24">
        <f t="shared" si="0"/>
        <v>-277.4616898414648</v>
      </c>
      <c r="E18" s="24">
        <f t="shared" si="1"/>
        <v>-277.4616898414648</v>
      </c>
    </row>
    <row r="19" spans="1:5" ht="12.75">
      <c r="A19" s="30" t="s">
        <v>76</v>
      </c>
      <c r="B19" s="24">
        <f>10*LOG(POWER(10,B17/10)+POWER(10,B18/10))</f>
        <v>-260.2980291713326</v>
      </c>
      <c r="C19" s="24" t="s">
        <v>32</v>
      </c>
      <c r="D19" s="24">
        <f>10*LOG(POWER(10,D17/10)+POWER(10,D18/10))</f>
        <v>-260.2980291713326</v>
      </c>
      <c r="E19" s="24">
        <f>10*LOG(POWER(10,E17/10)+POWER(10,E18/10))</f>
        <v>-260.2980291713326</v>
      </c>
    </row>
    <row r="20" spans="1:5" ht="12.75">
      <c r="A20" s="32" t="s">
        <v>34</v>
      </c>
      <c r="B20" s="23">
        <v>45</v>
      </c>
      <c r="C20" s="24" t="s">
        <v>35</v>
      </c>
      <c r="D20" s="23">
        <v>36</v>
      </c>
      <c r="E20" s="23">
        <v>31</v>
      </c>
    </row>
    <row r="21" spans="1:5" ht="12.75">
      <c r="A21" s="32" t="s">
        <v>36</v>
      </c>
      <c r="B21" s="23">
        <v>1</v>
      </c>
      <c r="C21" s="24" t="s">
        <v>31</v>
      </c>
      <c r="D21" s="23">
        <v>1</v>
      </c>
      <c r="E21" s="23">
        <v>1</v>
      </c>
    </row>
    <row r="22" spans="1:5" ht="12.75">
      <c r="A22" s="32" t="s">
        <v>77</v>
      </c>
      <c r="B22" s="24">
        <f>B19+B20-B21</f>
        <v>-216.2980291713326</v>
      </c>
      <c r="C22" s="24" t="s">
        <v>78</v>
      </c>
      <c r="D22" s="24">
        <f>D19+D20-D21</f>
        <v>-225.2980291713326</v>
      </c>
      <c r="E22" s="24">
        <f>E19+E20-E21</f>
        <v>-230.2980291713326</v>
      </c>
    </row>
    <row r="23" spans="1:5" ht="25.5">
      <c r="A23" s="32" t="s">
        <v>79</v>
      </c>
      <c r="B23" s="24">
        <f>B22+10*LOG(200)</f>
        <v>-193.28772921469277</v>
      </c>
      <c r="C23" s="24" t="s">
        <v>78</v>
      </c>
      <c r="D23" s="24">
        <f>D22+10*LOG(200)</f>
        <v>-202.28772921469277</v>
      </c>
      <c r="E23" s="24">
        <f>E22+10*LOG(200)</f>
        <v>-207.28772921469277</v>
      </c>
    </row>
    <row r="24" spans="1:5" ht="25.5">
      <c r="A24" s="32" t="s">
        <v>80</v>
      </c>
      <c r="B24" s="24">
        <v>-166</v>
      </c>
      <c r="C24" s="24" t="s">
        <v>78</v>
      </c>
      <c r="D24" s="24">
        <f>B24</f>
        <v>-166</v>
      </c>
      <c r="E24" s="24">
        <f>B24</f>
        <v>-166</v>
      </c>
    </row>
    <row r="25" spans="1:5" s="1" customFormat="1" ht="25.5">
      <c r="A25" s="30" t="s">
        <v>81</v>
      </c>
      <c r="B25" s="26">
        <f>B24+10*LOG(0.01)</f>
        <v>-186</v>
      </c>
      <c r="C25" s="26" t="s">
        <v>78</v>
      </c>
      <c r="D25" s="26">
        <f>D24+10*LOG(0.01)</f>
        <v>-186</v>
      </c>
      <c r="E25" s="26">
        <f>E24+10*LOG(0.01)</f>
        <v>-186</v>
      </c>
    </row>
    <row r="26" spans="1:5" ht="12.75">
      <c r="A26" s="32" t="s">
        <v>37</v>
      </c>
      <c r="B26" s="23">
        <v>206</v>
      </c>
      <c r="C26" s="22" t="s">
        <v>38</v>
      </c>
      <c r="D26" s="23">
        <v>1842</v>
      </c>
      <c r="E26" s="23">
        <v>4542</v>
      </c>
    </row>
    <row r="27" spans="1:5" ht="14.25">
      <c r="A27" s="32" t="s">
        <v>89</v>
      </c>
      <c r="B27" s="25">
        <v>0.005</v>
      </c>
      <c r="C27" s="22" t="s">
        <v>82</v>
      </c>
      <c r="D27" s="37">
        <f>B27</f>
        <v>0.005</v>
      </c>
      <c r="E27" s="37">
        <f>B27</f>
        <v>0.005</v>
      </c>
    </row>
    <row r="28" spans="1:5" ht="12.75">
      <c r="A28" s="32" t="s">
        <v>39</v>
      </c>
      <c r="B28" s="24">
        <f>B26*B27</f>
        <v>1.03</v>
      </c>
      <c r="C28" s="24" t="s">
        <v>82</v>
      </c>
      <c r="D28" s="24">
        <f>D26*D27</f>
        <v>9.21</v>
      </c>
      <c r="E28" s="24">
        <f>E26*E27</f>
        <v>22.71</v>
      </c>
    </row>
    <row r="29" spans="1:5" ht="12.75">
      <c r="A29" s="32" t="s">
        <v>83</v>
      </c>
      <c r="B29" s="23">
        <v>90</v>
      </c>
      <c r="C29" s="24" t="s">
        <v>84</v>
      </c>
      <c r="D29" s="24">
        <f>B29</f>
        <v>90</v>
      </c>
      <c r="E29" s="24">
        <f>B29</f>
        <v>90</v>
      </c>
    </row>
    <row r="30" spans="1:5" ht="12.75">
      <c r="A30" s="32" t="s">
        <v>85</v>
      </c>
      <c r="B30" s="23">
        <v>15</v>
      </c>
      <c r="C30" s="24" t="s">
        <v>31</v>
      </c>
      <c r="D30" s="24">
        <f>B30</f>
        <v>15</v>
      </c>
      <c r="E30" s="24">
        <f>B30</f>
        <v>15</v>
      </c>
    </row>
    <row r="31" spans="1:5" ht="25.5">
      <c r="A31" s="32" t="s">
        <v>86</v>
      </c>
      <c r="B31" s="24">
        <f>((B29/100)*B28/(10^(B30/10))+(1-B29/100)*B28)</f>
        <v>0.13231431390976084</v>
      </c>
      <c r="C31" s="24" t="s">
        <v>82</v>
      </c>
      <c r="D31" s="24">
        <f>((D29/100)*D28/(10^(D30/10))+(1-D29/100)*D28)</f>
        <v>1.1831211952513567</v>
      </c>
      <c r="E31" s="24">
        <f>((E29/100)*E28/(10^(E30/10))+(1-E29/100)*E28)</f>
        <v>2.917337930961814</v>
      </c>
    </row>
    <row r="32" spans="1:5" s="1" customFormat="1" ht="25.5">
      <c r="A32" s="30" t="s">
        <v>87</v>
      </c>
      <c r="B32" s="21">
        <f>B23+10*LOG(B31)</f>
        <v>-202.07166092279812</v>
      </c>
      <c r="C32" s="21" t="s">
        <v>78</v>
      </c>
      <c r="D32" s="21">
        <f>D23+10*LOG(D31)</f>
        <v>-201.55743686788134</v>
      </c>
      <c r="E32" s="21">
        <f>E23+10*LOG(E31)</f>
        <v>-202.63786182765247</v>
      </c>
    </row>
    <row r="33" spans="1:5" s="1" customFormat="1" ht="12.75">
      <c r="A33" s="30" t="s">
        <v>88</v>
      </c>
      <c r="B33" s="26">
        <f>B25-B32</f>
        <v>16.071660922798117</v>
      </c>
      <c r="C33" s="26" t="s">
        <v>31</v>
      </c>
      <c r="D33" s="26">
        <f>D25-D32</f>
        <v>15.557436867881336</v>
      </c>
      <c r="E33" s="26">
        <f>E25-E32</f>
        <v>16.637861827652472</v>
      </c>
    </row>
  </sheetData>
  <printOptions/>
  <pageMargins left="0.75" right="0.75" top="1" bottom="1" header="0.5" footer="0.5"/>
  <pageSetup orientation="portrait" paperSize="9"/>
  <legacyDrawing r:id="rId6"/>
  <oleObjects>
    <oleObject progId="Equation.3" shapeId="607439" r:id="rId1"/>
    <oleObject progId="Equation.3" shapeId="607440" r:id="rId2"/>
    <oleObject progId="Equation.3" shapeId="607441" r:id="rId3"/>
    <oleObject progId="Equation.3" shapeId="607442" r:id="rId4"/>
    <oleObject progId="Equation.3" shapeId="607443" r:id="rId5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E7" sqref="E7"/>
    </sheetView>
  </sheetViews>
  <sheetFormatPr defaultColWidth="9.140625" defaultRowHeight="12.75"/>
  <cols>
    <col min="1" max="1" width="60.7109375" style="34" customWidth="1"/>
    <col min="2" max="5" width="12.7109375" style="2" customWidth="1"/>
    <col min="6" max="16384" width="9.140625" style="2" customWidth="1"/>
  </cols>
  <sheetData>
    <row r="1" spans="1:5" ht="12.75">
      <c r="A1" s="29" t="s">
        <v>59</v>
      </c>
      <c r="B1" s="20"/>
      <c r="C1" s="20"/>
      <c r="D1" s="20"/>
      <c r="E1" s="20"/>
    </row>
    <row r="2" spans="1:5" ht="12.75">
      <c r="A2" s="29"/>
      <c r="B2" s="20"/>
      <c r="C2" s="20"/>
      <c r="D2" s="20"/>
      <c r="E2" s="20"/>
    </row>
    <row r="3" spans="1:5" s="1" customFormat="1" ht="25.5">
      <c r="A3" s="38" t="s">
        <v>90</v>
      </c>
      <c r="B3" s="21" t="s">
        <v>60</v>
      </c>
      <c r="C3" s="35"/>
      <c r="D3" s="21" t="s">
        <v>28</v>
      </c>
      <c r="E3" s="21" t="s">
        <v>29</v>
      </c>
    </row>
    <row r="4" spans="1:5" ht="12.75">
      <c r="A4" s="30" t="s">
        <v>26</v>
      </c>
      <c r="B4" s="36"/>
      <c r="C4" s="21" t="s">
        <v>27</v>
      </c>
      <c r="D4" s="36"/>
      <c r="E4" s="36"/>
    </row>
    <row r="5" spans="1:5" ht="12.75">
      <c r="A5" s="31" t="s">
        <v>61</v>
      </c>
      <c r="B5" s="23">
        <v>23.8</v>
      </c>
      <c r="C5" s="22" t="s">
        <v>40</v>
      </c>
      <c r="D5" s="22">
        <f>B5</f>
        <v>23.8</v>
      </c>
      <c r="E5" s="22">
        <f>B5</f>
        <v>23.8</v>
      </c>
    </row>
    <row r="6" spans="1:5" ht="12.75">
      <c r="A6" s="31" t="s">
        <v>62</v>
      </c>
      <c r="B6" s="22">
        <f>3/(10*B5)</f>
        <v>0.012605042016806723</v>
      </c>
      <c r="C6" s="22" t="s">
        <v>63</v>
      </c>
      <c r="D6" s="22">
        <f>B6</f>
        <v>0.012605042016806723</v>
      </c>
      <c r="E6" s="22">
        <f>B6</f>
        <v>0.012605042016806723</v>
      </c>
    </row>
    <row r="7" spans="1:5" ht="12.75">
      <c r="A7" s="30" t="s">
        <v>64</v>
      </c>
      <c r="B7" s="23">
        <v>-33.9</v>
      </c>
      <c r="C7" s="22" t="s">
        <v>30</v>
      </c>
      <c r="D7" s="23">
        <f>B7</f>
        <v>-33.9</v>
      </c>
      <c r="E7" s="23">
        <f>B7</f>
        <v>-33.9</v>
      </c>
    </row>
    <row r="8" spans="1:5" ht="12.75">
      <c r="A8" s="32" t="s">
        <v>65</v>
      </c>
      <c r="B8" s="22">
        <f>B7-30</f>
        <v>-63.9</v>
      </c>
      <c r="C8" s="22" t="s">
        <v>32</v>
      </c>
      <c r="D8" s="22">
        <f>D7-30</f>
        <v>-63.9</v>
      </c>
      <c r="E8" s="22">
        <f>E7-30</f>
        <v>-63.9</v>
      </c>
    </row>
    <row r="9" spans="1:5" ht="12.75">
      <c r="A9" s="32" t="s">
        <v>66</v>
      </c>
      <c r="B9" s="23">
        <v>25</v>
      </c>
      <c r="C9" s="22" t="s">
        <v>35</v>
      </c>
      <c r="D9" s="22">
        <f aca="true" t="shared" si="0" ref="D9:D14">B9</f>
        <v>25</v>
      </c>
      <c r="E9" s="22">
        <f aca="true" t="shared" si="1" ref="E9:E14">B9</f>
        <v>25</v>
      </c>
    </row>
    <row r="10" spans="1:5" ht="12.75">
      <c r="A10" s="30" t="s">
        <v>67</v>
      </c>
      <c r="B10" s="24">
        <f>B8-B9</f>
        <v>-88.9</v>
      </c>
      <c r="C10" s="22" t="s">
        <v>32</v>
      </c>
      <c r="D10" s="24">
        <f t="shared" si="0"/>
        <v>-88.9</v>
      </c>
      <c r="E10" s="24">
        <f t="shared" si="1"/>
        <v>-88.9</v>
      </c>
    </row>
    <row r="11" spans="1:5" ht="12.75">
      <c r="A11" s="32" t="s">
        <v>68</v>
      </c>
      <c r="B11" s="23">
        <v>-10</v>
      </c>
      <c r="C11" s="22" t="s">
        <v>35</v>
      </c>
      <c r="D11" s="22">
        <f t="shared" si="0"/>
        <v>-10</v>
      </c>
      <c r="E11" s="22">
        <f t="shared" si="1"/>
        <v>-10</v>
      </c>
    </row>
    <row r="12" spans="1:5" ht="12.75">
      <c r="A12" s="32" t="s">
        <v>69</v>
      </c>
      <c r="B12" s="22">
        <f>B10+B11</f>
        <v>-98.9</v>
      </c>
      <c r="C12" s="22" t="s">
        <v>32</v>
      </c>
      <c r="D12" s="22">
        <f t="shared" si="0"/>
        <v>-98.9</v>
      </c>
      <c r="E12" s="22">
        <f t="shared" si="1"/>
        <v>-98.9</v>
      </c>
    </row>
    <row r="13" spans="1:5" ht="12.75">
      <c r="A13" s="32" t="s">
        <v>70</v>
      </c>
      <c r="B13" s="23">
        <v>-5</v>
      </c>
      <c r="C13" s="22" t="s">
        <v>31</v>
      </c>
      <c r="D13" s="22">
        <f t="shared" si="0"/>
        <v>-5</v>
      </c>
      <c r="E13" s="22">
        <f t="shared" si="1"/>
        <v>-5</v>
      </c>
    </row>
    <row r="14" spans="1:5" ht="12.75">
      <c r="A14" s="32" t="s">
        <v>71</v>
      </c>
      <c r="B14" s="23">
        <v>-0.95</v>
      </c>
      <c r="C14" s="22" t="s">
        <v>31</v>
      </c>
      <c r="D14" s="22">
        <f t="shared" si="0"/>
        <v>-0.95</v>
      </c>
      <c r="E14" s="22">
        <f t="shared" si="1"/>
        <v>-0.95</v>
      </c>
    </row>
    <row r="15" spans="1:5" ht="12.75">
      <c r="A15" s="32" t="s">
        <v>72</v>
      </c>
      <c r="B15" s="23">
        <v>1336</v>
      </c>
      <c r="C15" s="22" t="s">
        <v>33</v>
      </c>
      <c r="D15" s="23">
        <v>1229</v>
      </c>
      <c r="E15" s="23">
        <v>1336</v>
      </c>
    </row>
    <row r="16" spans="1:5" ht="12.75">
      <c r="A16" s="32" t="s">
        <v>73</v>
      </c>
      <c r="B16" s="22">
        <f>20*LOG(4*PI()*B15*1000/B6)</f>
        <v>182.48944048996947</v>
      </c>
      <c r="C16" s="22" t="s">
        <v>31</v>
      </c>
      <c r="D16" s="22">
        <f>20*LOG(4*PI()*D15*1000/D6)</f>
        <v>181.764348984908</v>
      </c>
      <c r="E16" s="22">
        <f>20*LOG(4*PI()*E15*1000/E6)</f>
        <v>182.48944048996947</v>
      </c>
    </row>
    <row r="17" spans="1:5" ht="25.5">
      <c r="A17" s="30" t="s">
        <v>74</v>
      </c>
      <c r="B17" s="26">
        <f>B8+2*B13+2*B14+20*LOG10(B6/(8*PI()*B15*1000))</f>
        <v>-264.3100404032491</v>
      </c>
      <c r="C17" s="26" t="s">
        <v>32</v>
      </c>
      <c r="D17" s="26">
        <f>B17</f>
        <v>-264.3100404032491</v>
      </c>
      <c r="E17" s="26">
        <f>B17</f>
        <v>-264.3100404032491</v>
      </c>
    </row>
    <row r="18" spans="1:5" ht="12.75">
      <c r="A18" s="30" t="s">
        <v>75</v>
      </c>
      <c r="B18" s="26">
        <f>B12-B16</f>
        <v>-281.3894404899695</v>
      </c>
      <c r="C18" s="26" t="s">
        <v>32</v>
      </c>
      <c r="D18" s="26">
        <f>B18</f>
        <v>-281.3894404899695</v>
      </c>
      <c r="E18" s="26">
        <f>B18</f>
        <v>-281.3894404899695</v>
      </c>
    </row>
    <row r="19" spans="1:5" ht="12.75">
      <c r="A19" s="30" t="s">
        <v>76</v>
      </c>
      <c r="B19" s="26">
        <f>10*LOG(POWER(10,B17/10)+POWER(10,B18/10))</f>
        <v>-264.22577981983727</v>
      </c>
      <c r="C19" s="26" t="s">
        <v>32</v>
      </c>
      <c r="D19" s="26">
        <f>10*LOG(POWER(10,D17/10)+POWER(10,D18/10))</f>
        <v>-264.22577981983727</v>
      </c>
      <c r="E19" s="26">
        <f>10*LOG(POWER(10,E17/10)+POWER(10,E18/10))</f>
        <v>-264.22577981983727</v>
      </c>
    </row>
    <row r="20" spans="1:5" ht="12.75">
      <c r="A20" s="32" t="s">
        <v>34</v>
      </c>
      <c r="B20" s="23">
        <v>40</v>
      </c>
      <c r="C20" s="24" t="s">
        <v>35</v>
      </c>
      <c r="D20" s="23">
        <v>46</v>
      </c>
      <c r="E20" s="23">
        <v>52</v>
      </c>
    </row>
    <row r="21" spans="1:5" ht="12.75">
      <c r="A21" s="32" t="s">
        <v>36</v>
      </c>
      <c r="B21" s="23">
        <v>1.6</v>
      </c>
      <c r="C21" s="24" t="s">
        <v>31</v>
      </c>
      <c r="D21" s="23">
        <v>1.7</v>
      </c>
      <c r="E21" s="23">
        <v>1.7</v>
      </c>
    </row>
    <row r="22" spans="1:5" ht="12.75">
      <c r="A22" s="32" t="s">
        <v>77</v>
      </c>
      <c r="B22" s="24">
        <f>B19+B20-B21</f>
        <v>-225.82577981983727</v>
      </c>
      <c r="C22" s="24" t="s">
        <v>78</v>
      </c>
      <c r="D22" s="24">
        <f>D19+D20-D21</f>
        <v>-219.92577981983726</v>
      </c>
      <c r="E22" s="24">
        <f>E19+E20-E21</f>
        <v>-213.92577981983726</v>
      </c>
    </row>
    <row r="23" spans="1:5" ht="25.5">
      <c r="A23" s="32" t="s">
        <v>79</v>
      </c>
      <c r="B23" s="24">
        <f>B22+10*LOG(200)</f>
        <v>-202.81547986319745</v>
      </c>
      <c r="C23" s="24" t="s">
        <v>78</v>
      </c>
      <c r="D23" s="24">
        <f>D22+10*LOG(200)</f>
        <v>-196.91547986319745</v>
      </c>
      <c r="E23" s="24">
        <f>E22+10*LOG(200)</f>
        <v>-190.91547986319745</v>
      </c>
    </row>
    <row r="24" spans="1:5" ht="25.5">
      <c r="A24" s="32" t="s">
        <v>80</v>
      </c>
      <c r="B24" s="23">
        <v>-166</v>
      </c>
      <c r="C24" s="24" t="s">
        <v>78</v>
      </c>
      <c r="D24" s="24">
        <f>B24</f>
        <v>-166</v>
      </c>
      <c r="E24" s="24">
        <f>B24</f>
        <v>-166</v>
      </c>
    </row>
    <row r="25" spans="1:5" s="1" customFormat="1" ht="25.5">
      <c r="A25" s="30" t="s">
        <v>81</v>
      </c>
      <c r="B25" s="26">
        <f>B24+10*LOG(0.01)</f>
        <v>-186</v>
      </c>
      <c r="C25" s="26" t="s">
        <v>78</v>
      </c>
      <c r="D25" s="26">
        <f>D24+10*LOG(0.01)</f>
        <v>-186</v>
      </c>
      <c r="E25" s="26">
        <f>E24+10*LOG(0.01)</f>
        <v>-186</v>
      </c>
    </row>
    <row r="26" spans="1:5" ht="12.75">
      <c r="A26" s="32" t="s">
        <v>37</v>
      </c>
      <c r="B26" s="23">
        <v>1926</v>
      </c>
      <c r="C26" s="22" t="s">
        <v>38</v>
      </c>
      <c r="D26" s="23">
        <v>425</v>
      </c>
      <c r="E26" s="23">
        <v>264</v>
      </c>
    </row>
    <row r="27" spans="1:5" ht="14.25">
      <c r="A27" s="32" t="s">
        <v>89</v>
      </c>
      <c r="B27" s="25">
        <v>0.005</v>
      </c>
      <c r="C27" s="22" t="s">
        <v>82</v>
      </c>
      <c r="D27" s="25">
        <f>B27</f>
        <v>0.005</v>
      </c>
      <c r="E27" s="25">
        <f>B27</f>
        <v>0.005</v>
      </c>
    </row>
    <row r="28" spans="1:5" ht="12.75">
      <c r="A28" s="32" t="s">
        <v>39</v>
      </c>
      <c r="B28" s="24">
        <f>B26*B27</f>
        <v>9.63</v>
      </c>
      <c r="C28" s="24" t="s">
        <v>82</v>
      </c>
      <c r="D28" s="24">
        <f>D26*D27</f>
        <v>2.125</v>
      </c>
      <c r="E28" s="24">
        <f>E26*E27</f>
        <v>1.32</v>
      </c>
    </row>
    <row r="29" spans="1:5" ht="12.75">
      <c r="A29" s="32" t="s">
        <v>83</v>
      </c>
      <c r="B29" s="23">
        <v>90</v>
      </c>
      <c r="C29" s="24" t="s">
        <v>84</v>
      </c>
      <c r="D29" s="24">
        <f>B29</f>
        <v>90</v>
      </c>
      <c r="E29" s="24">
        <f>B29</f>
        <v>90</v>
      </c>
    </row>
    <row r="30" spans="1:5" ht="12.75">
      <c r="A30" s="32" t="s">
        <v>85</v>
      </c>
      <c r="B30" s="23">
        <v>15</v>
      </c>
      <c r="C30" s="24" t="s">
        <v>31</v>
      </c>
      <c r="D30" s="24">
        <f>B30</f>
        <v>15</v>
      </c>
      <c r="E30" s="24">
        <f>B30</f>
        <v>15</v>
      </c>
    </row>
    <row r="31" spans="1:5" ht="25.5">
      <c r="A31" s="32" t="s">
        <v>86</v>
      </c>
      <c r="B31" s="24">
        <f>((B29/100)*B28/(10^(B30/10))+(1-B29/100)*B28)</f>
        <v>1.2370746048067933</v>
      </c>
      <c r="C31" s="24" t="s">
        <v>82</v>
      </c>
      <c r="D31" s="24">
        <f>((D29/100)*D28/(10^(D30/10))+(1-D29/100)*D28)</f>
        <v>0.2729785602507202</v>
      </c>
      <c r="E31" s="24">
        <f>((E29/100)*E28/(10^(E30/10))+(1-E29/100)*E28)</f>
        <v>0.16956785860280033</v>
      </c>
    </row>
    <row r="32" spans="1:5" s="1" customFormat="1" ht="25.5">
      <c r="A32" s="30" t="s">
        <v>87</v>
      </c>
      <c r="B32" s="21">
        <f>B23+10*LOG(B31)</f>
        <v>-201.89152094710917</v>
      </c>
      <c r="C32" s="21" t="s">
        <v>78</v>
      </c>
      <c r="D32" s="21">
        <f>D23+10*LOG(D31)</f>
        <v>-202.5541944744912</v>
      </c>
      <c r="E32" s="21">
        <f>E23+10*LOG(E31)</f>
        <v>-198.622044506296</v>
      </c>
    </row>
    <row r="33" spans="1:5" ht="12.75">
      <c r="A33" s="30" t="s">
        <v>88</v>
      </c>
      <c r="B33" s="26">
        <f>B25-B32</f>
        <v>15.891520947109171</v>
      </c>
      <c r="C33" s="26" t="s">
        <v>31</v>
      </c>
      <c r="D33" s="26">
        <f>D25-D32</f>
        <v>16.554194474491197</v>
      </c>
      <c r="E33" s="26">
        <f>E25-E32</f>
        <v>12.622044506295993</v>
      </c>
    </row>
    <row r="34" spans="1:5" ht="12.75">
      <c r="A34" s="33"/>
      <c r="B34" s="27"/>
      <c r="C34" s="28"/>
      <c r="D34" s="27"/>
      <c r="E34" s="27"/>
    </row>
  </sheetData>
  <printOptions/>
  <pageMargins left="0.75" right="0.75" top="1" bottom="1" header="0.5" footer="0.5"/>
  <pageSetup horizontalDpi="300" verticalDpi="300" orientation="portrait" paperSize="9" r:id="rId7"/>
  <legacyDrawing r:id="rId6"/>
  <oleObjects>
    <oleObject progId="Equation.3" shapeId="541712" r:id="rId1"/>
    <oleObject progId="Equation.3" shapeId="541713" r:id="rId2"/>
    <oleObject progId="Equation.3" shapeId="541714" r:id="rId3"/>
    <oleObject progId="Equation.3" shapeId="541715" r:id="rId4"/>
    <oleObject progId="Equation.3" shapeId="541716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7" sqref="E7"/>
    </sheetView>
  </sheetViews>
  <sheetFormatPr defaultColWidth="9.140625" defaultRowHeight="12.75"/>
  <cols>
    <col min="1" max="1" width="60.7109375" style="34" customWidth="1"/>
    <col min="2" max="5" width="12.7109375" style="40" customWidth="1"/>
    <col min="6" max="16384" width="9.140625" style="2" customWidth="1"/>
  </cols>
  <sheetData>
    <row r="1" spans="1:5" ht="12.75">
      <c r="A1" s="29" t="s">
        <v>93</v>
      </c>
      <c r="B1" s="41"/>
      <c r="C1" s="41"/>
      <c r="D1" s="41"/>
      <c r="E1" s="41"/>
    </row>
    <row r="2" spans="1:5" ht="12.75">
      <c r="A2" s="29"/>
      <c r="B2" s="41"/>
      <c r="C2" s="41"/>
      <c r="D2" s="41"/>
      <c r="E2" s="41"/>
    </row>
    <row r="3" spans="1:5" ht="12.75">
      <c r="A3" s="38" t="s">
        <v>90</v>
      </c>
      <c r="B3" s="26" t="s">
        <v>41</v>
      </c>
      <c r="C3" s="42"/>
      <c r="D3" s="26" t="s">
        <v>42</v>
      </c>
      <c r="E3" s="26" t="s">
        <v>43</v>
      </c>
    </row>
    <row r="4" spans="1:5" ht="12.75">
      <c r="A4" s="30" t="s">
        <v>26</v>
      </c>
      <c r="B4" s="36"/>
      <c r="C4" s="26" t="s">
        <v>27</v>
      </c>
      <c r="D4" s="36"/>
      <c r="E4" s="36"/>
    </row>
    <row r="5" spans="1:5" ht="12.75">
      <c r="A5" s="31" t="s">
        <v>61</v>
      </c>
      <c r="B5" s="23">
        <v>58</v>
      </c>
      <c r="C5" s="24" t="s">
        <v>40</v>
      </c>
      <c r="D5" s="24">
        <f>B5</f>
        <v>58</v>
      </c>
      <c r="E5" s="24">
        <f>B5</f>
        <v>58</v>
      </c>
    </row>
    <row r="6" spans="1:5" ht="12.75">
      <c r="A6" s="31" t="s">
        <v>62</v>
      </c>
      <c r="B6" s="24">
        <f>3/(10*B5)</f>
        <v>0.005172413793103448</v>
      </c>
      <c r="C6" s="24" t="s">
        <v>63</v>
      </c>
      <c r="D6" s="24">
        <f>B6</f>
        <v>0.005172413793103448</v>
      </c>
      <c r="E6" s="24">
        <f>B6</f>
        <v>0.005172413793103448</v>
      </c>
    </row>
    <row r="7" spans="1:5" ht="12.75">
      <c r="A7" s="30" t="s">
        <v>99</v>
      </c>
      <c r="B7" s="23">
        <v>-15.5</v>
      </c>
      <c r="C7" s="24" t="s">
        <v>30</v>
      </c>
      <c r="D7" s="23">
        <f>B7</f>
        <v>-15.5</v>
      </c>
      <c r="E7" s="23">
        <f>B7</f>
        <v>-15.5</v>
      </c>
    </row>
    <row r="8" spans="1:5" ht="12.75">
      <c r="A8" s="32" t="s">
        <v>65</v>
      </c>
      <c r="B8" s="24">
        <f>B7-30</f>
        <v>-45.5</v>
      </c>
      <c r="C8" s="24" t="s">
        <v>32</v>
      </c>
      <c r="D8" s="24">
        <f>D7-30</f>
        <v>-45.5</v>
      </c>
      <c r="E8" s="24">
        <f>E7-30</f>
        <v>-45.5</v>
      </c>
    </row>
    <row r="9" spans="1:5" ht="12.75">
      <c r="A9" s="32" t="s">
        <v>66</v>
      </c>
      <c r="B9" s="23">
        <v>34</v>
      </c>
      <c r="C9" s="24" t="s">
        <v>35</v>
      </c>
      <c r="D9" s="24">
        <f aca="true" t="shared" si="0" ref="D9:D18">B9</f>
        <v>34</v>
      </c>
      <c r="E9" s="24">
        <f aca="true" t="shared" si="1" ref="E9:E18">B9</f>
        <v>34</v>
      </c>
    </row>
    <row r="10" spans="1:5" ht="12.75">
      <c r="A10" s="30" t="s">
        <v>67</v>
      </c>
      <c r="B10" s="24">
        <f>B8-B9</f>
        <v>-79.5</v>
      </c>
      <c r="C10" s="24" t="s">
        <v>32</v>
      </c>
      <c r="D10" s="24">
        <f t="shared" si="0"/>
        <v>-79.5</v>
      </c>
      <c r="E10" s="24">
        <f t="shared" si="1"/>
        <v>-79.5</v>
      </c>
    </row>
    <row r="11" spans="1:5" ht="12.75">
      <c r="A11" s="32" t="s">
        <v>68</v>
      </c>
      <c r="B11" s="23">
        <v>-10</v>
      </c>
      <c r="C11" s="24" t="s">
        <v>35</v>
      </c>
      <c r="D11" s="24">
        <f t="shared" si="0"/>
        <v>-10</v>
      </c>
      <c r="E11" s="24">
        <f t="shared" si="1"/>
        <v>-10</v>
      </c>
    </row>
    <row r="12" spans="1:5" ht="12.75">
      <c r="A12" s="32" t="s">
        <v>69</v>
      </c>
      <c r="B12" s="24">
        <f>B10+B11</f>
        <v>-89.5</v>
      </c>
      <c r="C12" s="24" t="s">
        <v>32</v>
      </c>
      <c r="D12" s="24">
        <f t="shared" si="0"/>
        <v>-89.5</v>
      </c>
      <c r="E12" s="24">
        <f t="shared" si="1"/>
        <v>-89.5</v>
      </c>
    </row>
    <row r="13" spans="1:5" ht="12.75">
      <c r="A13" s="32" t="s">
        <v>70</v>
      </c>
      <c r="B13" s="23">
        <v>-5</v>
      </c>
      <c r="C13" s="24" t="s">
        <v>31</v>
      </c>
      <c r="D13" s="24">
        <f t="shared" si="0"/>
        <v>-5</v>
      </c>
      <c r="E13" s="24">
        <f t="shared" si="1"/>
        <v>-5</v>
      </c>
    </row>
    <row r="14" spans="1:5" ht="12.75">
      <c r="A14" s="32" t="s">
        <v>71</v>
      </c>
      <c r="B14" s="23">
        <v>-0.95</v>
      </c>
      <c r="C14" s="24" t="s">
        <v>31</v>
      </c>
      <c r="D14" s="24">
        <f t="shared" si="0"/>
        <v>-0.95</v>
      </c>
      <c r="E14" s="24">
        <f t="shared" si="1"/>
        <v>-0.95</v>
      </c>
    </row>
    <row r="15" spans="1:5" ht="12.75">
      <c r="A15" s="32" t="s">
        <v>72</v>
      </c>
      <c r="B15" s="23">
        <v>850</v>
      </c>
      <c r="C15" s="24" t="s">
        <v>33</v>
      </c>
      <c r="D15" s="24">
        <f t="shared" si="0"/>
        <v>850</v>
      </c>
      <c r="E15" s="24">
        <f t="shared" si="1"/>
        <v>850</v>
      </c>
    </row>
    <row r="16" spans="1:5" ht="12.75">
      <c r="A16" s="32" t="s">
        <v>73</v>
      </c>
      <c r="B16" s="24">
        <f>20*LOG(4*PI()*B15*1000/B6)</f>
        <v>186.2987105715933</v>
      </c>
      <c r="C16" s="24" t="s">
        <v>31</v>
      </c>
      <c r="D16" s="24">
        <f t="shared" si="0"/>
        <v>186.2987105715933</v>
      </c>
      <c r="E16" s="24">
        <f t="shared" si="1"/>
        <v>186.2987105715933</v>
      </c>
    </row>
    <row r="17" spans="1:5" ht="25.5">
      <c r="A17" s="30" t="s">
        <v>74</v>
      </c>
      <c r="B17" s="26">
        <f>B8+2*B13+2*B14+20*LOG10(B6/(8*PI()*B15*1000))</f>
        <v>-249.71931048487292</v>
      </c>
      <c r="C17" s="26" t="s">
        <v>32</v>
      </c>
      <c r="D17" s="26">
        <f t="shared" si="0"/>
        <v>-249.71931048487292</v>
      </c>
      <c r="E17" s="26">
        <f t="shared" si="1"/>
        <v>-249.71931048487292</v>
      </c>
    </row>
    <row r="18" spans="1:5" ht="12.75">
      <c r="A18" s="30" t="s">
        <v>75</v>
      </c>
      <c r="B18" s="26">
        <f>B12-B16</f>
        <v>-275.7987105715933</v>
      </c>
      <c r="C18" s="26" t="s">
        <v>32</v>
      </c>
      <c r="D18" s="26">
        <f t="shared" si="0"/>
        <v>-275.7987105715933</v>
      </c>
      <c r="E18" s="26">
        <f t="shared" si="1"/>
        <v>-275.7987105715933</v>
      </c>
    </row>
    <row r="19" spans="1:5" ht="12.75">
      <c r="A19" s="30" t="s">
        <v>76</v>
      </c>
      <c r="B19" s="26">
        <f>10*LOG(POWER(10,B17/10)+POWER(10,B18/10))</f>
        <v>-249.70861232005134</v>
      </c>
      <c r="C19" s="26" t="s">
        <v>32</v>
      </c>
      <c r="D19" s="26">
        <f>10*LOG(POWER(10,D17/10)+POWER(10,D18/10))</f>
        <v>-249.70861232005134</v>
      </c>
      <c r="E19" s="26">
        <f>10*LOG(POWER(10,E17/10)+POWER(10,E18/10))</f>
        <v>-249.70861232005134</v>
      </c>
    </row>
    <row r="20" spans="1:5" ht="12.75">
      <c r="A20" s="32" t="s">
        <v>34</v>
      </c>
      <c r="B20" s="23">
        <v>45</v>
      </c>
      <c r="C20" s="24" t="s">
        <v>35</v>
      </c>
      <c r="D20" s="23">
        <v>36</v>
      </c>
      <c r="E20" s="23">
        <v>41</v>
      </c>
    </row>
    <row r="21" spans="1:5" ht="12.75">
      <c r="A21" s="32" t="s">
        <v>36</v>
      </c>
      <c r="B21" s="23">
        <v>90</v>
      </c>
      <c r="C21" s="24" t="s">
        <v>31</v>
      </c>
      <c r="D21" s="24">
        <v>90</v>
      </c>
      <c r="E21" s="24">
        <v>90</v>
      </c>
    </row>
    <row r="22" spans="1:5" ht="12.75">
      <c r="A22" s="32" t="s">
        <v>77</v>
      </c>
      <c r="B22" s="24">
        <f>B19+B20-B21</f>
        <v>-294.7086123200513</v>
      </c>
      <c r="C22" s="24" t="s">
        <v>78</v>
      </c>
      <c r="D22" s="24">
        <f>D19+D20-D21</f>
        <v>-303.7086123200513</v>
      </c>
      <c r="E22" s="24">
        <f>E19+E20-E21</f>
        <v>-298.7086123200513</v>
      </c>
    </row>
    <row r="23" spans="1:5" ht="25.5">
      <c r="A23" s="32" t="s">
        <v>94</v>
      </c>
      <c r="B23" s="24">
        <f>B22+10*LOG(100)</f>
        <v>-274.7086123200513</v>
      </c>
      <c r="C23" s="24" t="s">
        <v>78</v>
      </c>
      <c r="D23" s="24">
        <f>D22+10*LOG(100)</f>
        <v>-283.7086123200513</v>
      </c>
      <c r="E23" s="24">
        <f>E22+10*LOG(100)</f>
        <v>-278.7086123200513</v>
      </c>
    </row>
    <row r="24" spans="1:5" ht="25.5">
      <c r="A24" s="32" t="s">
        <v>95</v>
      </c>
      <c r="B24" s="24">
        <v>-169</v>
      </c>
      <c r="C24" s="24" t="s">
        <v>78</v>
      </c>
      <c r="D24" s="24">
        <f>B24</f>
        <v>-169</v>
      </c>
      <c r="E24" s="24">
        <f>B24</f>
        <v>-169</v>
      </c>
    </row>
    <row r="25" spans="1:5" s="1" customFormat="1" ht="25.5">
      <c r="A25" s="30" t="s">
        <v>96</v>
      </c>
      <c r="B25" s="26">
        <f>B24+10*LOG(0.05)</f>
        <v>-182.0102999566398</v>
      </c>
      <c r="C25" s="26" t="s">
        <v>78</v>
      </c>
      <c r="D25" s="26">
        <f>D24+10*LOG(0.05)</f>
        <v>-182.0102999566398</v>
      </c>
      <c r="E25" s="26">
        <f>E24+10*LOG(0.05)</f>
        <v>-182.0102999566398</v>
      </c>
    </row>
    <row r="26" spans="1:5" ht="12.75">
      <c r="A26" s="32" t="s">
        <v>37</v>
      </c>
      <c r="B26" s="23">
        <v>201</v>
      </c>
      <c r="C26" s="24" t="s">
        <v>38</v>
      </c>
      <c r="D26" s="23">
        <v>1885</v>
      </c>
      <c r="E26" s="23">
        <v>804</v>
      </c>
    </row>
    <row r="27" spans="1:5" ht="14.25">
      <c r="A27" s="32" t="s">
        <v>89</v>
      </c>
      <c r="B27" s="25">
        <v>0.001</v>
      </c>
      <c r="C27" s="24" t="s">
        <v>82</v>
      </c>
      <c r="D27" s="25">
        <f>B27</f>
        <v>0.001</v>
      </c>
      <c r="E27" s="25">
        <f>B27</f>
        <v>0.001</v>
      </c>
    </row>
    <row r="28" spans="1:5" ht="12.75">
      <c r="A28" s="32" t="s">
        <v>39</v>
      </c>
      <c r="B28" s="24">
        <f>B26*B27</f>
        <v>0.201</v>
      </c>
      <c r="C28" s="24" t="s">
        <v>82</v>
      </c>
      <c r="D28" s="24">
        <f>D26*D27</f>
        <v>1.885</v>
      </c>
      <c r="E28" s="24">
        <f>E26*E27</f>
        <v>0.804</v>
      </c>
    </row>
    <row r="29" spans="1:5" ht="12.75">
      <c r="A29" s="32" t="s">
        <v>83</v>
      </c>
      <c r="B29" s="23">
        <v>90</v>
      </c>
      <c r="C29" s="24" t="s">
        <v>84</v>
      </c>
      <c r="D29" s="24">
        <f>B29</f>
        <v>90</v>
      </c>
      <c r="E29" s="24">
        <f>B29</f>
        <v>90</v>
      </c>
    </row>
    <row r="30" spans="1:5" ht="12.75">
      <c r="A30" s="32" t="s">
        <v>85</v>
      </c>
      <c r="B30" s="23">
        <v>20</v>
      </c>
      <c r="C30" s="24" t="s">
        <v>31</v>
      </c>
      <c r="D30" s="24">
        <f>B30</f>
        <v>20</v>
      </c>
      <c r="E30" s="24">
        <f>B30</f>
        <v>20</v>
      </c>
    </row>
    <row r="31" spans="1:5" ht="25.5">
      <c r="A31" s="32" t="s">
        <v>86</v>
      </c>
      <c r="B31" s="24">
        <f>((B29/100)*B28/(10^(B30/10))+(1-B29/100)*B28)</f>
        <v>0.021908999999999998</v>
      </c>
      <c r="C31" s="24" t="s">
        <v>82</v>
      </c>
      <c r="D31" s="24">
        <f>((D29/100)*D28/(10^(D30/10))+(1-D29/100)*D28)</f>
        <v>0.20546499999999995</v>
      </c>
      <c r="E31" s="24">
        <f>((E29/100)*E28/(10^(E30/10))+(1-E29/100)*E28)</f>
        <v>0.08763599999999999</v>
      </c>
    </row>
    <row r="32" spans="1:5" s="1" customFormat="1" ht="25.5">
      <c r="A32" s="30" t="s">
        <v>97</v>
      </c>
      <c r="B32" s="26">
        <f>B23+10*LOG(B31)</f>
        <v>-291.3023867664402</v>
      </c>
      <c r="C32" s="26" t="s">
        <v>78</v>
      </c>
      <c r="D32" s="26">
        <f>D23+10*LOG(D31)</f>
        <v>-290.581233795227</v>
      </c>
      <c r="E32" s="26">
        <f>E23+10*LOG(E31)</f>
        <v>-289.28178685316055</v>
      </c>
    </row>
    <row r="33" spans="1:5" s="1" customFormat="1" ht="12.75">
      <c r="A33" s="30" t="s">
        <v>98</v>
      </c>
      <c r="B33" s="26">
        <f>B25-B32</f>
        <v>109.29208680980037</v>
      </c>
      <c r="C33" s="26" t="s">
        <v>31</v>
      </c>
      <c r="D33" s="26">
        <f>D25-D32</f>
        <v>108.57093383858717</v>
      </c>
      <c r="E33" s="26">
        <f>E25-E32</f>
        <v>107.27148689652074</v>
      </c>
    </row>
  </sheetData>
  <printOptions/>
  <pageMargins left="0.75" right="0.75" top="1" bottom="1" header="0.5" footer="0.5"/>
  <pageSetup orientation="portrait" paperSize="9"/>
  <legacyDrawing r:id="rId8"/>
  <oleObjects>
    <oleObject progId="Equation.3" shapeId="647761" r:id="rId1"/>
    <oleObject progId="Equation.3" shapeId="647762" r:id="rId2"/>
    <oleObject progId="Equation.3" shapeId="647763" r:id="rId3"/>
    <oleObject progId="Equation.3" shapeId="647764" r:id="rId4"/>
    <oleObject progId="Equation.3" shapeId="647765" r:id="rId5"/>
    <oleObject progId="Equation.3" shapeId="647766" r:id="rId6"/>
    <oleObject progId="Equation.3" shapeId="647767" r:id="rId7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7" sqref="E7"/>
    </sheetView>
  </sheetViews>
  <sheetFormatPr defaultColWidth="9.140625" defaultRowHeight="12.75"/>
  <cols>
    <col min="1" max="1" width="60.7109375" style="34" customWidth="1"/>
    <col min="2" max="5" width="12.7109375" style="2" customWidth="1"/>
    <col min="6" max="16384" width="9.140625" style="2" customWidth="1"/>
  </cols>
  <sheetData>
    <row r="1" spans="1:5" ht="12.75">
      <c r="A1" s="29" t="s">
        <v>100</v>
      </c>
      <c r="B1" s="20"/>
      <c r="C1" s="20"/>
      <c r="D1" s="20"/>
      <c r="E1" s="20"/>
    </row>
    <row r="2" spans="1:5" ht="12.75">
      <c r="A2" s="29"/>
      <c r="B2" s="20"/>
      <c r="C2" s="20"/>
      <c r="D2" s="20"/>
      <c r="E2" s="20"/>
    </row>
    <row r="3" spans="1:5" ht="25.5">
      <c r="A3" s="38" t="s">
        <v>90</v>
      </c>
      <c r="B3" s="21" t="s">
        <v>60</v>
      </c>
      <c r="C3" s="39"/>
      <c r="D3" s="21" t="s">
        <v>28</v>
      </c>
      <c r="E3" s="21" t="s">
        <v>29</v>
      </c>
    </row>
    <row r="4" spans="1:5" ht="12.75">
      <c r="A4" s="30" t="s">
        <v>26</v>
      </c>
      <c r="B4" s="36"/>
      <c r="C4" s="21" t="s">
        <v>27</v>
      </c>
      <c r="D4" s="36"/>
      <c r="E4" s="36"/>
    </row>
    <row r="5" spans="1:5" ht="12.75">
      <c r="A5" s="31" t="s">
        <v>61</v>
      </c>
      <c r="B5" s="22">
        <v>88</v>
      </c>
      <c r="C5" s="22" t="s">
        <v>40</v>
      </c>
      <c r="D5" s="22">
        <f>B5</f>
        <v>88</v>
      </c>
      <c r="E5" s="22">
        <f>B5</f>
        <v>88</v>
      </c>
    </row>
    <row r="6" spans="1:5" ht="12.75">
      <c r="A6" s="31" t="s">
        <v>62</v>
      </c>
      <c r="B6" s="22">
        <f>3/(10*B5)</f>
        <v>0.003409090909090909</v>
      </c>
      <c r="C6" s="22" t="s">
        <v>63</v>
      </c>
      <c r="D6" s="22">
        <f>B6</f>
        <v>0.003409090909090909</v>
      </c>
      <c r="E6" s="22">
        <f>B6</f>
        <v>0.003409090909090909</v>
      </c>
    </row>
    <row r="7" spans="1:5" ht="12.75">
      <c r="A7" s="30" t="s">
        <v>102</v>
      </c>
      <c r="B7" s="23">
        <v>-37</v>
      </c>
      <c r="C7" s="24" t="s">
        <v>30</v>
      </c>
      <c r="D7" s="23">
        <f>B7</f>
        <v>-37</v>
      </c>
      <c r="E7" s="23">
        <f>B7</f>
        <v>-37</v>
      </c>
    </row>
    <row r="8" spans="1:5" ht="12.75">
      <c r="A8" s="32" t="s">
        <v>65</v>
      </c>
      <c r="B8" s="24">
        <f>B$7-30</f>
        <v>-67</v>
      </c>
      <c r="C8" s="24" t="s">
        <v>32</v>
      </c>
      <c r="D8" s="24">
        <f>D$7-30</f>
        <v>-67</v>
      </c>
      <c r="E8" s="24">
        <f>E$7-30</f>
        <v>-67</v>
      </c>
    </row>
    <row r="9" spans="1:5" ht="12.75">
      <c r="A9" s="32" t="s">
        <v>66</v>
      </c>
      <c r="B9" s="23">
        <v>33</v>
      </c>
      <c r="C9" s="24" t="s">
        <v>35</v>
      </c>
      <c r="D9" s="24">
        <f aca="true" t="shared" si="0" ref="D9:D14">B9</f>
        <v>33</v>
      </c>
      <c r="E9" s="24">
        <f aca="true" t="shared" si="1" ref="E9:E14">B9</f>
        <v>33</v>
      </c>
    </row>
    <row r="10" spans="1:5" ht="12.75">
      <c r="A10" s="30" t="s">
        <v>67</v>
      </c>
      <c r="B10" s="24">
        <f>B8-B9</f>
        <v>-100</v>
      </c>
      <c r="C10" s="24" t="s">
        <v>32</v>
      </c>
      <c r="D10" s="24">
        <f t="shared" si="0"/>
        <v>-100</v>
      </c>
      <c r="E10" s="24">
        <f t="shared" si="1"/>
        <v>-100</v>
      </c>
    </row>
    <row r="11" spans="1:5" ht="12.75">
      <c r="A11" s="32" t="s">
        <v>68</v>
      </c>
      <c r="B11" s="23">
        <v>-10</v>
      </c>
      <c r="C11" s="24" t="s">
        <v>35</v>
      </c>
      <c r="D11" s="24">
        <f t="shared" si="0"/>
        <v>-10</v>
      </c>
      <c r="E11" s="24">
        <f t="shared" si="1"/>
        <v>-10</v>
      </c>
    </row>
    <row r="12" spans="1:5" ht="12.75">
      <c r="A12" s="32" t="s">
        <v>69</v>
      </c>
      <c r="B12" s="24">
        <f>B10+B11</f>
        <v>-110</v>
      </c>
      <c r="C12" s="24" t="s">
        <v>32</v>
      </c>
      <c r="D12" s="24">
        <f t="shared" si="0"/>
        <v>-110</v>
      </c>
      <c r="E12" s="24">
        <f t="shared" si="1"/>
        <v>-110</v>
      </c>
    </row>
    <row r="13" spans="1:5" ht="12.75">
      <c r="A13" s="32" t="s">
        <v>70</v>
      </c>
      <c r="B13" s="23">
        <v>-5</v>
      </c>
      <c r="C13" s="24" t="s">
        <v>31</v>
      </c>
      <c r="D13" s="24">
        <f t="shared" si="0"/>
        <v>-5</v>
      </c>
      <c r="E13" s="24">
        <f t="shared" si="1"/>
        <v>-5</v>
      </c>
    </row>
    <row r="14" spans="1:5" ht="12.75">
      <c r="A14" s="32" t="s">
        <v>71</v>
      </c>
      <c r="B14" s="23">
        <v>-0.95</v>
      </c>
      <c r="C14" s="24" t="s">
        <v>31</v>
      </c>
      <c r="D14" s="24">
        <f t="shared" si="0"/>
        <v>-0.95</v>
      </c>
      <c r="E14" s="24">
        <f t="shared" si="1"/>
        <v>-0.95</v>
      </c>
    </row>
    <row r="15" spans="1:5" ht="12.75">
      <c r="A15" s="32" t="s">
        <v>72</v>
      </c>
      <c r="B15" s="23">
        <v>1336</v>
      </c>
      <c r="C15" s="24" t="s">
        <v>33</v>
      </c>
      <c r="D15" s="23">
        <v>1229</v>
      </c>
      <c r="E15" s="23">
        <v>1336</v>
      </c>
    </row>
    <row r="16" spans="1:5" ht="12.75">
      <c r="A16" s="32" t="s">
        <v>73</v>
      </c>
      <c r="B16" s="24">
        <f>20*LOG(4*PI()*B15*1000/B6)</f>
        <v>193.84755479184258</v>
      </c>
      <c r="C16" s="24" t="s">
        <v>31</v>
      </c>
      <c r="D16" s="24">
        <f>20*LOG(4*PI()*D15*1000/D6)</f>
        <v>193.12246328678114</v>
      </c>
      <c r="E16" s="24">
        <f>20*LOG(4*PI()*E15*1000/E6)</f>
        <v>193.84755479184258</v>
      </c>
    </row>
    <row r="17" spans="1:5" s="1" customFormat="1" ht="25.5">
      <c r="A17" s="30" t="s">
        <v>74</v>
      </c>
      <c r="B17" s="26">
        <f>B8+2*B13+2*B14+20*LOG10(B6/(8*PI()*B15*1000))</f>
        <v>-278.76815470512224</v>
      </c>
      <c r="C17" s="26" t="s">
        <v>32</v>
      </c>
      <c r="D17" s="26">
        <f>B17</f>
        <v>-278.76815470512224</v>
      </c>
      <c r="E17" s="26">
        <f>B17</f>
        <v>-278.76815470512224</v>
      </c>
    </row>
    <row r="18" spans="1:5" s="1" customFormat="1" ht="12.75">
      <c r="A18" s="30" t="s">
        <v>75</v>
      </c>
      <c r="B18" s="26">
        <f>B12-B16</f>
        <v>-303.8475547918426</v>
      </c>
      <c r="C18" s="26" t="s">
        <v>32</v>
      </c>
      <c r="D18" s="26">
        <f>B18</f>
        <v>-303.8475547918426</v>
      </c>
      <c r="E18" s="26">
        <f>B18</f>
        <v>-303.8475547918426</v>
      </c>
    </row>
    <row r="19" spans="1:5" s="1" customFormat="1" ht="12.75">
      <c r="A19" s="30" t="s">
        <v>76</v>
      </c>
      <c r="B19" s="26">
        <f>10*LOG(POWER(10,B17/10)+POWER(10,B18/10))</f>
        <v>-278.7546908033779</v>
      </c>
      <c r="C19" s="26" t="s">
        <v>32</v>
      </c>
      <c r="D19" s="26">
        <f>10*LOG(POWER(10,D17/10)+POWER(10,D$18/10))</f>
        <v>-278.7546908033779</v>
      </c>
      <c r="E19" s="26">
        <f>10*LOG(POWER(10,E17/10)+POWER(10,E$18/10))</f>
        <v>-278.7546908033779</v>
      </c>
    </row>
    <row r="20" spans="1:5" ht="12.75">
      <c r="A20" s="32" t="s">
        <v>34</v>
      </c>
      <c r="B20" s="23">
        <v>50</v>
      </c>
      <c r="C20" s="24" t="s">
        <v>35</v>
      </c>
      <c r="D20" s="23">
        <v>60.5</v>
      </c>
      <c r="E20" s="23">
        <v>56</v>
      </c>
    </row>
    <row r="21" spans="1:5" ht="12.75">
      <c r="A21" s="32" t="s">
        <v>36</v>
      </c>
      <c r="B21" s="23">
        <v>2</v>
      </c>
      <c r="C21" s="24" t="s">
        <v>31</v>
      </c>
      <c r="D21" s="23">
        <v>2</v>
      </c>
      <c r="E21" s="23">
        <v>2</v>
      </c>
    </row>
    <row r="22" spans="1:5" ht="12.75">
      <c r="A22" s="32" t="s">
        <v>77</v>
      </c>
      <c r="B22" s="24">
        <f>B19+B20-B21</f>
        <v>-230.7546908033779</v>
      </c>
      <c r="C22" s="24" t="s">
        <v>78</v>
      </c>
      <c r="D22" s="24">
        <f>D19+D$20-D$21</f>
        <v>-220.2546908033779</v>
      </c>
      <c r="E22" s="24">
        <f>E$19+E$20-E$21</f>
        <v>-224.7546908033779</v>
      </c>
    </row>
    <row r="23" spans="1:5" ht="25.5">
      <c r="A23" s="32" t="s">
        <v>94</v>
      </c>
      <c r="B23" s="24">
        <f>B22+10*LOG(100)</f>
        <v>-210.7546908033779</v>
      </c>
      <c r="C23" s="24" t="s">
        <v>78</v>
      </c>
      <c r="D23" s="24">
        <f>D22+10*LOG(100)</f>
        <v>-200.2546908033779</v>
      </c>
      <c r="E23" s="24">
        <f>E22+10*LOG(100)</f>
        <v>-204.7546908033779</v>
      </c>
    </row>
    <row r="24" spans="1:5" ht="25.5">
      <c r="A24" s="32" t="s">
        <v>95</v>
      </c>
      <c r="B24" s="24">
        <v>-169</v>
      </c>
      <c r="C24" s="24" t="s">
        <v>78</v>
      </c>
      <c r="D24" s="24">
        <f>B24</f>
        <v>-169</v>
      </c>
      <c r="E24" s="24">
        <f>B24</f>
        <v>-169</v>
      </c>
    </row>
    <row r="25" spans="1:5" s="1" customFormat="1" ht="25.5">
      <c r="A25" s="30" t="s">
        <v>101</v>
      </c>
      <c r="B25" s="26">
        <f>B24+10*LOG(0.01)</f>
        <v>-189</v>
      </c>
      <c r="C25" s="26" t="s">
        <v>78</v>
      </c>
      <c r="D25" s="26">
        <f>D24+10*LOG(0.01)</f>
        <v>-189</v>
      </c>
      <c r="E25" s="26">
        <f>E24+10*LOG(0.01)</f>
        <v>-189</v>
      </c>
    </row>
    <row r="26" spans="1:5" ht="12.75">
      <c r="A26" s="32" t="s">
        <v>37</v>
      </c>
      <c r="B26" s="23">
        <v>131</v>
      </c>
      <c r="C26" s="24" t="s">
        <v>38</v>
      </c>
      <c r="D26" s="23">
        <v>18</v>
      </c>
      <c r="E26" s="23">
        <v>115</v>
      </c>
    </row>
    <row r="27" spans="1:5" ht="14.25">
      <c r="A27" s="32" t="s">
        <v>89</v>
      </c>
      <c r="B27" s="25">
        <v>0.001</v>
      </c>
      <c r="C27" s="24" t="s">
        <v>82</v>
      </c>
      <c r="D27" s="25">
        <f>B27</f>
        <v>0.001</v>
      </c>
      <c r="E27" s="25">
        <f>B27</f>
        <v>0.001</v>
      </c>
    </row>
    <row r="28" spans="1:5" ht="12.75">
      <c r="A28" s="32" t="s">
        <v>39</v>
      </c>
      <c r="B28" s="24">
        <f>B26*B27</f>
        <v>0.131</v>
      </c>
      <c r="C28" s="24" t="s">
        <v>82</v>
      </c>
      <c r="D28" s="24">
        <f>D26*D27</f>
        <v>0.018000000000000002</v>
      </c>
      <c r="E28" s="24">
        <f>E26*E27</f>
        <v>0.115</v>
      </c>
    </row>
    <row r="29" spans="1:5" ht="12.75">
      <c r="A29" s="32" t="s">
        <v>83</v>
      </c>
      <c r="B29" s="23">
        <v>90</v>
      </c>
      <c r="C29" s="24" t="s">
        <v>84</v>
      </c>
      <c r="D29" s="24">
        <f>B29</f>
        <v>90</v>
      </c>
      <c r="E29" s="24">
        <f>B29</f>
        <v>90</v>
      </c>
    </row>
    <row r="30" spans="1:5" ht="12.75">
      <c r="A30" s="32" t="s">
        <v>85</v>
      </c>
      <c r="B30" s="23">
        <v>25</v>
      </c>
      <c r="C30" s="24" t="s">
        <v>31</v>
      </c>
      <c r="D30" s="24">
        <f>B30</f>
        <v>25</v>
      </c>
      <c r="E30" s="24">
        <f>B30</f>
        <v>25</v>
      </c>
    </row>
    <row r="31" spans="1:5" ht="25.5">
      <c r="A31" s="32" t="s">
        <v>86</v>
      </c>
      <c r="B31" s="24">
        <f>((B29/100)*B28/(10^(B30/10))+(1-B29/100)*B28)</f>
        <v>0.013472832536133848</v>
      </c>
      <c r="C31" s="24" t="s">
        <v>82</v>
      </c>
      <c r="D31" s="24">
        <f>((D29/100)*D28/(10^(D30/10))+(1-D29/100)*D28)</f>
        <v>0.0018512288980947274</v>
      </c>
      <c r="E31" s="24">
        <f>((E29/100)*E28/(10^(E30/10))+(1-E29/100)*E28)</f>
        <v>0.011827295737827426</v>
      </c>
    </row>
    <row r="32" spans="1:5" ht="25.5">
      <c r="A32" s="32" t="s">
        <v>97</v>
      </c>
      <c r="B32" s="24">
        <f>B23+10*LOG(B31)</f>
        <v>-229.46010168691313</v>
      </c>
      <c r="C32" s="24" t="s">
        <v>78</v>
      </c>
      <c r="D32" s="24">
        <f>D23+10*LOG(D31)</f>
        <v>-227.58008959243773</v>
      </c>
      <c r="E32" s="24">
        <f>E23+10*LOG(E31)</f>
        <v>-224.02583623993468</v>
      </c>
    </row>
    <row r="33" spans="1:5" s="1" customFormat="1" ht="12.75">
      <c r="A33" s="30" t="s">
        <v>88</v>
      </c>
      <c r="B33" s="26">
        <f>B25-B32</f>
        <v>40.460101686913134</v>
      </c>
      <c r="C33" s="26" t="s">
        <v>31</v>
      </c>
      <c r="D33" s="26">
        <f>D25-D32</f>
        <v>38.58008959243773</v>
      </c>
      <c r="E33" s="26">
        <f>E25-E32</f>
        <v>35.02583623993468</v>
      </c>
    </row>
  </sheetData>
  <printOptions/>
  <pageMargins left="0.75" right="0.75" top="1" bottom="1" header="0.5" footer="0.5"/>
  <pageSetup orientation="portrait" paperSize="9"/>
  <legacyDrawing r:id="rId6"/>
  <oleObjects>
    <oleObject progId="Equation.3" shapeId="672525" r:id="rId1"/>
    <oleObject progId="Equation.3" shapeId="672526" r:id="rId2"/>
    <oleObject progId="Equation.3" shapeId="672527" r:id="rId3"/>
    <oleObject progId="Equation.3" shapeId="672528" r:id="rId4"/>
    <oleObject progId="Equation.3" shapeId="67252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LPR - MCL spreadsheets collection</dc:title>
  <dc:subject/>
  <dc:creator>ET</dc:creator>
  <cp:keywords/>
  <dc:description/>
  <cp:lastModifiedBy>Marc</cp:lastModifiedBy>
  <dcterms:created xsi:type="dcterms:W3CDTF">2009-03-01T18:18:19Z</dcterms:created>
  <dcterms:modified xsi:type="dcterms:W3CDTF">2010-01-15T10:56:06Z</dcterms:modified>
  <cp:category/>
  <cp:version/>
  <cp:contentType/>
  <cp:contentStatus/>
</cp:coreProperties>
</file>