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12660" firstSheet="1" activeTab="14"/>
  </bookViews>
  <sheets>
    <sheet name="table2" sheetId="1" r:id="rId1"/>
    <sheet name="table3" sheetId="2" r:id="rId2"/>
    <sheet name="table36" sheetId="3" r:id="rId3"/>
    <sheet name="table37" sheetId="4" r:id="rId4"/>
    <sheet name="table40" sheetId="5" r:id="rId5"/>
    <sheet name="table41" sheetId="6" r:id="rId6"/>
    <sheet name="table43" sheetId="7" r:id="rId7"/>
    <sheet name="table44" sheetId="8" r:id="rId8"/>
    <sheet name="table45" sheetId="9" r:id="rId9"/>
    <sheet name="table47" sheetId="10" r:id="rId10"/>
    <sheet name="table50" sheetId="11" r:id="rId11"/>
    <sheet name="table51" sheetId="12" r:id="rId12"/>
    <sheet name="table52" sheetId="13" r:id="rId13"/>
    <sheet name="table53" sheetId="14" r:id="rId14"/>
    <sheet name="TableA2.1" sheetId="15" r:id="rId15"/>
  </sheets>
  <definedNames/>
  <calcPr fullCalcOnLoad="1"/>
</workbook>
</file>

<file path=xl/sharedStrings.xml><?xml version="1.0" encoding="utf-8"?>
<sst xmlns="http://schemas.openxmlformats.org/spreadsheetml/2006/main" count="266" uniqueCount="121">
  <si>
    <t>Application</t>
  </si>
  <si>
    <t>Saw</t>
  </si>
  <si>
    <t>Power during machine running</t>
  </si>
  <si>
    <t>Power during working</t>
  </si>
  <si>
    <t>active device density rural</t>
  </si>
  <si>
    <t xml:space="preserve">sensor activity to overall machine runtime </t>
  </si>
  <si>
    <t>TPC Mitigation dB</t>
  </si>
  <si>
    <t>resulting power</t>
  </si>
  <si>
    <t>Radar --&gt; ODC</t>
  </si>
  <si>
    <t>Mainlobe</t>
  </si>
  <si>
    <t>S-Band</t>
  </si>
  <si>
    <t>f/GHz</t>
  </si>
  <si>
    <t>Bandwidth MHz</t>
  </si>
  <si>
    <t>peak power dBm e.i.r.p.</t>
  </si>
  <si>
    <t>max antenna gain dBi</t>
  </si>
  <si>
    <t>p_eirp_Radar dBm</t>
  </si>
  <si>
    <t>p_eirp max W</t>
  </si>
  <si>
    <t>Radar thermal noise dBm/MHz</t>
  </si>
  <si>
    <t>I/N dB</t>
  </si>
  <si>
    <t>Imax/Radar dBm/MHz</t>
  </si>
  <si>
    <t>P_uwb dBm/MHz e.i.r.p.</t>
  </si>
  <si>
    <t>protection distance/m Free space loss</t>
  </si>
  <si>
    <t>Power flux density at the BMA at the protection distance W/m^2</t>
  </si>
  <si>
    <t>Antenna Gain BMA dBi</t>
  </si>
  <si>
    <t>Received power at the BMA at the protection distance dBm/Bandwidth</t>
  </si>
  <si>
    <t>Received power at the BMA at the protection distance dBm/BW</t>
  </si>
  <si>
    <t xml:space="preserve">Application A: Proximity Sensing of Human tissue </t>
  </si>
  <si>
    <t>Application B: “Break through” protection and direct contact avoidance for building work</t>
  </si>
  <si>
    <t>market saturation in 2010 in Europe (in thousand)</t>
  </si>
  <si>
    <t>Urban</t>
  </si>
  <si>
    <t>sub-urban</t>
  </si>
  <si>
    <t>rural</t>
  </si>
  <si>
    <t>sum</t>
  </si>
  <si>
    <t>DIY</t>
  </si>
  <si>
    <t>Professional</t>
  </si>
  <si>
    <t>total</t>
  </si>
  <si>
    <t>market share: devices per household in 2010 in Europe (based on 250 Mio. households in Europe)</t>
  </si>
  <si>
    <t xml:space="preserve">households per km^2 </t>
  </si>
  <si>
    <t>devices per km^2</t>
  </si>
  <si>
    <t>average runtime per 12h</t>
  </si>
  <si>
    <t>mean</t>
  </si>
  <si>
    <t>Active device density /km^2</t>
  </si>
  <si>
    <t>Total</t>
  </si>
  <si>
    <t>Total active ODC Density /km^2</t>
  </si>
  <si>
    <t>Average runtime in minutes</t>
  </si>
  <si>
    <t>Average runtime in seconds</t>
  </si>
  <si>
    <t>MS-&gt;ODC</t>
  </si>
  <si>
    <t>power dBm/3.84MHz</t>
  </si>
  <si>
    <t>p_eirp dBm</t>
  </si>
  <si>
    <t>p_eirp W</t>
  </si>
  <si>
    <t>Imax dBm/MHz</t>
  </si>
  <si>
    <t>Power flux density at the BMA at the protection distance dBm/m^2</t>
  </si>
  <si>
    <t xml:space="preserve">PFD Threshold </t>
  </si>
  <si>
    <t>Received power at the BMA at the protection distance dBm/3.84MHz</t>
  </si>
  <si>
    <t>Power Threshold</t>
  </si>
  <si>
    <t>Continuum observation</t>
  </si>
  <si>
    <t>Spectral line observation</t>
  </si>
  <si>
    <t>Frequency / GHz</t>
  </si>
  <si>
    <t>average power level dBm/MHz e.i.r.p.</t>
  </si>
  <si>
    <t>mitigations dB</t>
  </si>
  <si>
    <t>threshold power level RA.769 dBm/MHz</t>
  </si>
  <si>
    <t>MCL dB</t>
  </si>
  <si>
    <t>Protection distance free space loss m</t>
  </si>
  <si>
    <t>f/MHz</t>
  </si>
  <si>
    <t>Lambda/m</t>
  </si>
  <si>
    <t>Ps dBm/MHz</t>
  </si>
  <si>
    <t>Mitigations</t>
  </si>
  <si>
    <t>UWB Ps/dBm/MHz incl. Mitigations</t>
  </si>
  <si>
    <t>UWB Ps W/MHz</t>
  </si>
  <si>
    <t>UWB Gs/dBi</t>
  </si>
  <si>
    <t>UWB Gs abs</t>
  </si>
  <si>
    <t>active Density/km^2</t>
  </si>
  <si>
    <t>active Density/m^2</t>
  </si>
  <si>
    <t>Outer radius R1 in m</t>
  </si>
  <si>
    <t>RAS Ge/dBi</t>
  </si>
  <si>
    <t>RAS Ge_abs</t>
  </si>
  <si>
    <t>Alpha</t>
  </si>
  <si>
    <t>Imax W/MHz</t>
  </si>
  <si>
    <t>minimum inner protection radius m</t>
  </si>
  <si>
    <t>Generic</t>
  </si>
  <si>
    <t>BMA</t>
  </si>
  <si>
    <t>Drill</t>
  </si>
  <si>
    <t xml:space="preserve">Mitigations </t>
  </si>
  <si>
    <t>minimum inner protection radius m (single UWB applications)</t>
  </si>
  <si>
    <t>Generic+BMA</t>
  </si>
  <si>
    <t>Generic+BMA+Saw</t>
  </si>
  <si>
    <t>Generic+BMA+Saw+Drill</t>
  </si>
  <si>
    <t>minimum inner protection radius m (Aggregation of UWB applications)</t>
  </si>
  <si>
    <t>Interfering Links</t>
  </si>
  <si>
    <t>IF Link1</t>
  </si>
  <si>
    <t>IF Link2</t>
  </si>
  <si>
    <t>IF Link3</t>
  </si>
  <si>
    <t>IF Link4</t>
  </si>
  <si>
    <t>ODC Saw</t>
  </si>
  <si>
    <t>ODC drill</t>
  </si>
  <si>
    <t>generic</t>
  </si>
  <si>
    <t>2,7 GHz Limit dBm/MHz</t>
  </si>
  <si>
    <t>4,8 GHz Limit dBm/MHz</t>
  </si>
  <si>
    <t>Mitigation dB</t>
  </si>
  <si>
    <t>SEAMCAT Input</t>
  </si>
  <si>
    <t>2,7 GHz Power dBm/MHz</t>
  </si>
  <si>
    <t>4,8 GHz Power dBm/MHz</t>
  </si>
  <si>
    <t>density/km^2</t>
  </si>
  <si>
    <t>activity factor</t>
  </si>
  <si>
    <t>prob</t>
  </si>
  <si>
    <t>active devices</t>
  </si>
  <si>
    <t>simu radius km</t>
  </si>
  <si>
    <t>area/km^2</t>
  </si>
  <si>
    <t>max interference power dBm/MHz</t>
  </si>
  <si>
    <t>Ge dBi</t>
  </si>
  <si>
    <t>Peirp dBm/MHz</t>
  </si>
  <si>
    <t>Wall attenuation/dB</t>
  </si>
  <si>
    <t>r/m</t>
  </si>
  <si>
    <t>EMC Limit EN 55022 Class B &gt;1GHz</t>
  </si>
  <si>
    <t>E/dBµV/mMHz</t>
  </si>
  <si>
    <t>E/V/mMHz</t>
  </si>
  <si>
    <t>ZF/Ohm</t>
  </si>
  <si>
    <t>Peirp W/MHz</t>
  </si>
  <si>
    <t>distance /m</t>
  </si>
  <si>
    <t xml:space="preserve">Free space loss </t>
  </si>
  <si>
    <t>P_mobile dBm/MHz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</si>
</sst>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00"/>
    <numFmt numFmtId="169" formatCode="0.0"/>
    <numFmt numFmtId="170" formatCode="0.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2" borderId="1" xfId="0" applyNumberFormat="1" applyFill="1" applyBorder="1" applyAlignment="1">
      <alignment/>
    </xf>
    <xf numFmtId="9" fontId="0" fillId="2" borderId="1" xfId="20" applyFill="1" applyBorder="1" applyAlignment="1">
      <alignment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9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2" fontId="0" fillId="0" borderId="8" xfId="0" applyNumberFormat="1" applyFont="1" applyBorder="1" applyAlignment="1">
      <alignment/>
    </xf>
    <xf numFmtId="11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 wrapText="1"/>
    </xf>
    <xf numFmtId="2" fontId="0" fillId="2" borderId="10" xfId="0" applyNumberFormat="1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10" fontId="0" fillId="2" borderId="1" xfId="20" applyNumberFormat="1" applyFill="1" applyBorder="1" applyAlignment="1">
      <alignment horizontal="left" wrapText="1"/>
    </xf>
    <xf numFmtId="10" fontId="0" fillId="0" borderId="0" xfId="20" applyNumberFormat="1" applyAlignment="1">
      <alignment horizontal="left" wrapText="1"/>
    </xf>
    <xf numFmtId="10" fontId="0" fillId="3" borderId="1" xfId="20" applyNumberFormat="1" applyFill="1" applyBorder="1" applyAlignment="1">
      <alignment horizontal="left" wrapText="1"/>
    </xf>
    <xf numFmtId="43" fontId="0" fillId="2" borderId="1" xfId="15" applyFill="1" applyBorder="1" applyAlignment="1">
      <alignment horizontal="left" wrapText="1"/>
    </xf>
    <xf numFmtId="43" fontId="0" fillId="3" borderId="1" xfId="15" applyFill="1" applyBorder="1" applyAlignment="1">
      <alignment horizontal="left" wrapText="1"/>
    </xf>
    <xf numFmtId="11" fontId="0" fillId="2" borderId="1" xfId="0" applyNumberFormat="1" applyFill="1" applyBorder="1" applyAlignment="1">
      <alignment horizontal="left" wrapText="1"/>
    </xf>
    <xf numFmtId="11" fontId="0" fillId="3" borderId="1" xfId="0" applyNumberForma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8" fontId="1" fillId="3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168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/>
    </xf>
    <xf numFmtId="0" fontId="3" fillId="0" borderId="5" xfId="0" applyFont="1" applyBorder="1" applyAlignment="1">
      <alignment wrapText="1"/>
    </xf>
    <xf numFmtId="2" fontId="3" fillId="0" borderId="6" xfId="0" applyNumberFormat="1" applyFont="1" applyBorder="1" applyAlignment="1">
      <alignment/>
    </xf>
    <xf numFmtId="0" fontId="0" fillId="0" borderId="5" xfId="0" applyBorder="1" applyAlignment="1">
      <alignment wrapText="1"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2" fontId="0" fillId="0" borderId="8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0" fillId="2" borderId="7" xfId="0" applyFill="1" applyBorder="1" applyAlignment="1">
      <alignment wrapText="1"/>
    </xf>
    <xf numFmtId="2" fontId="0" fillId="2" borderId="8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wrapText="1"/>
    </xf>
    <xf numFmtId="2" fontId="0" fillId="2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7" xfId="0" applyFont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9" xfId="0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2" fontId="0" fillId="2" borderId="4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5" fillId="0" borderId="7" xfId="0" applyFont="1" applyBorder="1" applyAlignment="1">
      <alignment/>
    </xf>
    <xf numFmtId="2" fontId="5" fillId="2" borderId="8" xfId="0" applyNumberFormat="1" applyFont="1" applyFill="1" applyBorder="1" applyAlignment="1">
      <alignment/>
    </xf>
    <xf numFmtId="0" fontId="3" fillId="0" borderId="7" xfId="0" applyFont="1" applyFill="1" applyBorder="1" applyAlignment="1">
      <alignment wrapText="1"/>
    </xf>
    <xf numFmtId="2" fontId="3" fillId="2" borderId="8" xfId="0" applyNumberFormat="1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2" fontId="5" fillId="0" borderId="8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11" fontId="5" fillId="0" borderId="8" xfId="0" applyNumberFormat="1" applyFont="1" applyFill="1" applyBorder="1" applyAlignment="1">
      <alignment/>
    </xf>
    <xf numFmtId="168" fontId="0" fillId="2" borderId="8" xfId="0" applyNumberFormat="1" applyFill="1" applyBorder="1" applyAlignment="1">
      <alignment/>
    </xf>
    <xf numFmtId="11" fontId="0" fillId="0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6" fillId="0" borderId="9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5" fillId="2" borderId="23" xfId="0" applyNumberFormat="1" applyFont="1" applyFill="1" applyBorder="1" applyAlignment="1">
      <alignment/>
    </xf>
    <xf numFmtId="11" fontId="5" fillId="0" borderId="22" xfId="0" applyNumberFormat="1" applyFont="1" applyFill="1" applyBorder="1" applyAlignment="1">
      <alignment/>
    </xf>
    <xf numFmtId="11" fontId="5" fillId="0" borderId="23" xfId="0" applyNumberFormat="1" applyFon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1" fontId="0" fillId="0" borderId="22" xfId="0" applyNumberFormat="1" applyFill="1" applyBorder="1" applyAlignment="1">
      <alignment/>
    </xf>
    <xf numFmtId="11" fontId="0" fillId="0" borderId="23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11" fontId="0" fillId="0" borderId="22" xfId="0" applyNumberFormat="1" applyBorder="1" applyAlignment="1">
      <alignment/>
    </xf>
    <xf numFmtId="11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11" fontId="0" fillId="2" borderId="8" xfId="0" applyNumberForma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6" fillId="0" borderId="24" xfId="0" applyNumberFormat="1" applyFont="1" applyFill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2" fontId="6" fillId="0" borderId="27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/>
    </xf>
    <xf numFmtId="0" fontId="0" fillId="0" borderId="14" xfId="0" applyBorder="1" applyAlignment="1">
      <alignment/>
    </xf>
    <xf numFmtId="0" fontId="0" fillId="2" borderId="28" xfId="0" applyFill="1" applyBorder="1" applyAlignment="1">
      <alignment/>
    </xf>
    <xf numFmtId="0" fontId="4" fillId="0" borderId="16" xfId="0" applyFont="1" applyBorder="1" applyAlignment="1">
      <alignment/>
    </xf>
    <xf numFmtId="0" fontId="4" fillId="2" borderId="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18" xfId="0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19" xfId="0" applyNumberFormat="1" applyBorder="1" applyAlignment="1">
      <alignment/>
    </xf>
    <xf numFmtId="170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C26" sqref="C26"/>
    </sheetView>
  </sheetViews>
  <sheetFormatPr defaultColWidth="9.140625" defaultRowHeight="12.75"/>
  <cols>
    <col min="1" max="1" width="30.00390625" style="0" bestFit="1" customWidth="1"/>
  </cols>
  <sheetData>
    <row r="1" spans="1:15" ht="12.75">
      <c r="A1" s="22"/>
      <c r="B1" s="23" t="s">
        <v>26</v>
      </c>
      <c r="C1" s="23"/>
      <c r="D1" s="23"/>
      <c r="E1" s="23"/>
      <c r="F1" s="24"/>
      <c r="G1" s="25" t="s">
        <v>27</v>
      </c>
      <c r="H1" s="25"/>
      <c r="I1" s="25"/>
      <c r="J1" s="25"/>
      <c r="K1" s="22"/>
      <c r="L1" s="22"/>
      <c r="M1" s="22"/>
      <c r="N1" s="22"/>
      <c r="O1" s="22"/>
    </row>
    <row r="2" spans="1:15" ht="25.5">
      <c r="A2" s="26" t="s">
        <v>28</v>
      </c>
      <c r="B2" s="27" t="s">
        <v>29</v>
      </c>
      <c r="C2" s="27" t="s">
        <v>30</v>
      </c>
      <c r="D2" s="27" t="s">
        <v>31</v>
      </c>
      <c r="E2" s="27" t="s">
        <v>32</v>
      </c>
      <c r="F2" s="24"/>
      <c r="G2" s="28" t="s">
        <v>29</v>
      </c>
      <c r="H2" s="28" t="s">
        <v>30</v>
      </c>
      <c r="I2" s="28" t="s">
        <v>31</v>
      </c>
      <c r="J2" s="28" t="s">
        <v>32</v>
      </c>
      <c r="K2" s="22"/>
      <c r="L2" s="22"/>
      <c r="M2" s="22"/>
      <c r="N2" s="22"/>
      <c r="O2" s="22"/>
    </row>
    <row r="3" spans="1:15" ht="12.75">
      <c r="A3" s="29" t="s">
        <v>33</v>
      </c>
      <c r="B3" s="27">
        <v>70</v>
      </c>
      <c r="C3" s="27">
        <v>490</v>
      </c>
      <c r="D3" s="27">
        <v>840</v>
      </c>
      <c r="E3" s="27">
        <f>SUM(B3:D3)</f>
        <v>1400</v>
      </c>
      <c r="F3" s="24"/>
      <c r="G3" s="30">
        <f>0.2*800/3</f>
        <v>53.333333333333336</v>
      </c>
      <c r="H3" s="30">
        <f>0.2*800/3</f>
        <v>53.333333333333336</v>
      </c>
      <c r="I3" s="30">
        <f>0.2*800/3</f>
        <v>53.333333333333336</v>
      </c>
      <c r="J3" s="28">
        <f>SUM(G3:I3)</f>
        <v>160</v>
      </c>
      <c r="K3" s="22"/>
      <c r="L3" s="22"/>
      <c r="M3" s="22"/>
      <c r="N3" s="22"/>
      <c r="O3" s="22"/>
    </row>
    <row r="4" spans="1:15" ht="12.75">
      <c r="A4" s="29" t="s">
        <v>34</v>
      </c>
      <c r="B4" s="27">
        <v>360</v>
      </c>
      <c r="C4" s="27">
        <v>600</v>
      </c>
      <c r="D4" s="27">
        <v>240</v>
      </c>
      <c r="E4" s="27">
        <f>SUM(B4:D4)</f>
        <v>1200</v>
      </c>
      <c r="F4" s="24"/>
      <c r="G4" s="30">
        <f>0.8*800/3</f>
        <v>213.33333333333334</v>
      </c>
      <c r="H4" s="30">
        <f>0.8*800/3</f>
        <v>213.33333333333334</v>
      </c>
      <c r="I4" s="30">
        <f>0.8*800/3</f>
        <v>213.33333333333334</v>
      </c>
      <c r="J4" s="28">
        <f>SUM(G4:I4)</f>
        <v>640</v>
      </c>
      <c r="K4" s="22"/>
      <c r="L4" s="22"/>
      <c r="M4" s="22"/>
      <c r="N4" s="22"/>
      <c r="O4" s="22"/>
    </row>
    <row r="5" spans="1:15" ht="12.75">
      <c r="A5" s="26" t="s">
        <v>35</v>
      </c>
      <c r="B5" s="31">
        <f>B3+B4</f>
        <v>430</v>
      </c>
      <c r="C5" s="31">
        <f>C3+C4</f>
        <v>1090</v>
      </c>
      <c r="D5" s="31">
        <f>D3+D4</f>
        <v>1080</v>
      </c>
      <c r="E5" s="31">
        <f>SUM(B5:D5)</f>
        <v>2600</v>
      </c>
      <c r="F5" s="32"/>
      <c r="G5" s="33">
        <f>G3+G4</f>
        <v>266.6666666666667</v>
      </c>
      <c r="H5" s="33">
        <f>H3+H4</f>
        <v>266.6666666666667</v>
      </c>
      <c r="I5" s="33">
        <f>I3+I4</f>
        <v>266.6666666666667</v>
      </c>
      <c r="J5" s="33">
        <f>SUM(G5:I5)</f>
        <v>800</v>
      </c>
      <c r="K5" s="34"/>
      <c r="L5" s="34"/>
      <c r="M5" s="34"/>
      <c r="N5" s="34"/>
      <c r="O5" s="34"/>
    </row>
    <row r="6" spans="1:15" ht="12.75">
      <c r="A6" s="29"/>
      <c r="B6" s="27"/>
      <c r="C6" s="27"/>
      <c r="D6" s="27"/>
      <c r="E6" s="27"/>
      <c r="F6" s="24"/>
      <c r="G6" s="28"/>
      <c r="H6" s="28"/>
      <c r="I6" s="28"/>
      <c r="J6" s="28"/>
      <c r="K6" s="22"/>
      <c r="L6" s="22"/>
      <c r="M6" s="22"/>
      <c r="N6" s="22"/>
      <c r="O6" s="22"/>
    </row>
    <row r="7" spans="1:15" ht="51">
      <c r="A7" s="26" t="s">
        <v>36</v>
      </c>
      <c r="B7" s="27" t="s">
        <v>29</v>
      </c>
      <c r="C7" s="27" t="s">
        <v>30</v>
      </c>
      <c r="D7" s="27" t="s">
        <v>31</v>
      </c>
      <c r="E7" s="27"/>
      <c r="F7" s="24"/>
      <c r="G7" s="28" t="s">
        <v>29</v>
      </c>
      <c r="H7" s="28" t="s">
        <v>30</v>
      </c>
      <c r="I7" s="28" t="s">
        <v>31</v>
      </c>
      <c r="J7" s="28"/>
      <c r="K7" s="22"/>
      <c r="L7" s="22"/>
      <c r="M7" s="22"/>
      <c r="N7" s="22"/>
      <c r="O7" s="22"/>
    </row>
    <row r="8" spans="1:15" ht="12.75">
      <c r="A8" s="29" t="s">
        <v>33</v>
      </c>
      <c r="B8" s="35">
        <f aca="true" t="shared" si="0" ref="B8:D10">B3/250000</f>
        <v>0.00028</v>
      </c>
      <c r="C8" s="35">
        <f t="shared" si="0"/>
        <v>0.00196</v>
      </c>
      <c r="D8" s="35">
        <f t="shared" si="0"/>
        <v>0.00336</v>
      </c>
      <c r="E8" s="35"/>
      <c r="F8" s="36"/>
      <c r="G8" s="37">
        <f aca="true" t="shared" si="1" ref="G8:I10">G3/250000</f>
        <v>0.00021333333333333333</v>
      </c>
      <c r="H8" s="37">
        <f t="shared" si="1"/>
        <v>0.00021333333333333333</v>
      </c>
      <c r="I8" s="37">
        <f t="shared" si="1"/>
        <v>0.00021333333333333333</v>
      </c>
      <c r="J8" s="37"/>
      <c r="K8" s="22"/>
      <c r="L8" s="22"/>
      <c r="M8" s="22"/>
      <c r="N8" s="22"/>
      <c r="O8" s="22"/>
    </row>
    <row r="9" spans="1:15" ht="12.75">
      <c r="A9" s="29" t="s">
        <v>34</v>
      </c>
      <c r="B9" s="35">
        <f t="shared" si="0"/>
        <v>0.00144</v>
      </c>
      <c r="C9" s="35">
        <f t="shared" si="0"/>
        <v>0.0024</v>
      </c>
      <c r="D9" s="35">
        <f t="shared" si="0"/>
        <v>0.00096</v>
      </c>
      <c r="E9" s="35"/>
      <c r="F9" s="36"/>
      <c r="G9" s="37">
        <f t="shared" si="1"/>
        <v>0.0008533333333333333</v>
      </c>
      <c r="H9" s="37">
        <f t="shared" si="1"/>
        <v>0.0008533333333333333</v>
      </c>
      <c r="I9" s="37">
        <f t="shared" si="1"/>
        <v>0.0008533333333333333</v>
      </c>
      <c r="J9" s="37"/>
      <c r="K9" s="22"/>
      <c r="L9" s="22"/>
      <c r="M9" s="22"/>
      <c r="N9" s="22"/>
      <c r="O9" s="22"/>
    </row>
    <row r="10" spans="1:15" ht="12.75">
      <c r="A10" s="29" t="s">
        <v>35</v>
      </c>
      <c r="B10" s="35">
        <f t="shared" si="0"/>
        <v>0.00172</v>
      </c>
      <c r="C10" s="35">
        <f t="shared" si="0"/>
        <v>0.00436</v>
      </c>
      <c r="D10" s="35">
        <f t="shared" si="0"/>
        <v>0.00432</v>
      </c>
      <c r="E10" s="35"/>
      <c r="F10" s="36"/>
      <c r="G10" s="37">
        <f t="shared" si="1"/>
        <v>0.0010666666666666667</v>
      </c>
      <c r="H10" s="37">
        <f t="shared" si="1"/>
        <v>0.0010666666666666667</v>
      </c>
      <c r="I10" s="37">
        <f t="shared" si="1"/>
        <v>0.0010666666666666667</v>
      </c>
      <c r="J10" s="37"/>
      <c r="K10" s="22"/>
      <c r="L10" s="22"/>
      <c r="M10" s="22"/>
      <c r="N10" s="22"/>
      <c r="O10" s="22"/>
    </row>
    <row r="11" spans="1:15" ht="12.75">
      <c r="A11" s="29"/>
      <c r="B11" s="27"/>
      <c r="C11" s="27"/>
      <c r="D11" s="27"/>
      <c r="E11" s="27"/>
      <c r="F11" s="24"/>
      <c r="G11" s="28"/>
      <c r="H11" s="28"/>
      <c r="I11" s="28"/>
      <c r="J11" s="28"/>
      <c r="K11" s="22"/>
      <c r="L11" s="22"/>
      <c r="M11" s="22"/>
      <c r="N11" s="22"/>
      <c r="O11" s="22"/>
    </row>
    <row r="12" spans="1:15" ht="12.75">
      <c r="A12" s="26" t="s">
        <v>37</v>
      </c>
      <c r="B12" s="27">
        <v>6700</v>
      </c>
      <c r="C12" s="27">
        <v>460</v>
      </c>
      <c r="D12" s="27">
        <v>52</v>
      </c>
      <c r="E12" s="27"/>
      <c r="F12" s="24"/>
      <c r="G12" s="28">
        <v>6700</v>
      </c>
      <c r="H12" s="28">
        <v>460</v>
      </c>
      <c r="I12" s="28">
        <v>52</v>
      </c>
      <c r="J12" s="28"/>
      <c r="K12" s="22"/>
      <c r="L12" s="22"/>
      <c r="M12" s="22"/>
      <c r="N12" s="22"/>
      <c r="O12" s="22"/>
    </row>
    <row r="13" spans="1:15" ht="12.75">
      <c r="A13" s="29"/>
      <c r="B13" s="27"/>
      <c r="C13" s="27"/>
      <c r="D13" s="27"/>
      <c r="E13" s="27"/>
      <c r="F13" s="24"/>
      <c r="G13" s="28"/>
      <c r="H13" s="28"/>
      <c r="I13" s="28"/>
      <c r="J13" s="28"/>
      <c r="K13" s="22"/>
      <c r="L13" s="22"/>
      <c r="M13" s="22"/>
      <c r="N13" s="22"/>
      <c r="O13" s="22"/>
    </row>
    <row r="14" spans="1:15" ht="12.75">
      <c r="A14" s="26" t="s">
        <v>38</v>
      </c>
      <c r="B14" s="27" t="s">
        <v>29</v>
      </c>
      <c r="C14" s="27" t="s">
        <v>30</v>
      </c>
      <c r="D14" s="27" t="s">
        <v>31</v>
      </c>
      <c r="E14" s="27"/>
      <c r="F14" s="24"/>
      <c r="G14" s="28" t="s">
        <v>29</v>
      </c>
      <c r="H14" s="28" t="s">
        <v>30</v>
      </c>
      <c r="I14" s="28" t="s">
        <v>31</v>
      </c>
      <c r="J14" s="28"/>
      <c r="K14" s="22"/>
      <c r="L14" s="22"/>
      <c r="M14" s="22"/>
      <c r="N14" s="22"/>
      <c r="O14" s="22"/>
    </row>
    <row r="15" spans="1:15" ht="12.75">
      <c r="A15" s="29" t="s">
        <v>33</v>
      </c>
      <c r="B15" s="38">
        <f aca="true" t="shared" si="2" ref="B15:D17">B$12*B8</f>
        <v>1.876</v>
      </c>
      <c r="C15" s="38">
        <f t="shared" si="2"/>
        <v>0.9016</v>
      </c>
      <c r="D15" s="38">
        <f t="shared" si="2"/>
        <v>0.17472000000000001</v>
      </c>
      <c r="E15" s="35"/>
      <c r="F15" s="36"/>
      <c r="G15" s="39">
        <f aca="true" t="shared" si="3" ref="G15:I17">G$12*G8</f>
        <v>1.4293333333333333</v>
      </c>
      <c r="H15" s="39">
        <f t="shared" si="3"/>
        <v>0.09813333333333334</v>
      </c>
      <c r="I15" s="39">
        <f t="shared" si="3"/>
        <v>0.011093333333333334</v>
      </c>
      <c r="J15" s="28"/>
      <c r="K15" s="22"/>
      <c r="L15" s="22"/>
      <c r="M15" s="22"/>
      <c r="N15" s="22"/>
      <c r="O15" s="22"/>
    </row>
    <row r="16" spans="1:15" ht="12.75">
      <c r="A16" s="29" t="s">
        <v>34</v>
      </c>
      <c r="B16" s="38">
        <f t="shared" si="2"/>
        <v>9.648000000000001</v>
      </c>
      <c r="C16" s="38">
        <f t="shared" si="2"/>
        <v>1.1039999999999999</v>
      </c>
      <c r="D16" s="38">
        <f t="shared" si="2"/>
        <v>0.04992</v>
      </c>
      <c r="E16" s="35"/>
      <c r="F16" s="36"/>
      <c r="G16" s="39">
        <f t="shared" si="3"/>
        <v>5.717333333333333</v>
      </c>
      <c r="H16" s="39">
        <f t="shared" si="3"/>
        <v>0.39253333333333335</v>
      </c>
      <c r="I16" s="39">
        <f t="shared" si="3"/>
        <v>0.044373333333333334</v>
      </c>
      <c r="J16" s="28"/>
      <c r="K16" s="22"/>
      <c r="L16" s="22"/>
      <c r="M16" s="22"/>
      <c r="N16" s="22"/>
      <c r="O16" s="22"/>
    </row>
    <row r="17" spans="1:15" ht="12.75">
      <c r="A17" s="29" t="s">
        <v>35</v>
      </c>
      <c r="B17" s="38">
        <f t="shared" si="2"/>
        <v>11.524</v>
      </c>
      <c r="C17" s="38">
        <f t="shared" si="2"/>
        <v>2.0056000000000003</v>
      </c>
      <c r="D17" s="38">
        <f t="shared" si="2"/>
        <v>0.22464</v>
      </c>
      <c r="E17" s="35"/>
      <c r="F17" s="36"/>
      <c r="G17" s="39">
        <f t="shared" si="3"/>
        <v>7.146666666666667</v>
      </c>
      <c r="H17" s="39">
        <f t="shared" si="3"/>
        <v>0.4906666666666667</v>
      </c>
      <c r="I17" s="39">
        <f t="shared" si="3"/>
        <v>0.05546666666666667</v>
      </c>
      <c r="J17" s="28"/>
      <c r="K17" s="22"/>
      <c r="L17" s="22"/>
      <c r="M17" s="22"/>
      <c r="N17" s="22"/>
      <c r="O17" s="22"/>
    </row>
    <row r="18" spans="1:15" ht="12.75">
      <c r="A18" s="29"/>
      <c r="B18" s="27"/>
      <c r="C18" s="27"/>
      <c r="D18" s="27"/>
      <c r="E18" s="27"/>
      <c r="F18" s="24"/>
      <c r="G18" s="28"/>
      <c r="H18" s="28"/>
      <c r="I18" s="28"/>
      <c r="J18" s="28"/>
      <c r="K18" s="22"/>
      <c r="L18" s="22"/>
      <c r="M18" s="22"/>
      <c r="N18" s="22"/>
      <c r="O18" s="22"/>
    </row>
    <row r="19" spans="1:15" ht="12.75">
      <c r="A19" s="26" t="s">
        <v>39</v>
      </c>
      <c r="B19" s="27" t="s">
        <v>29</v>
      </c>
      <c r="C19" s="27" t="s">
        <v>30</v>
      </c>
      <c r="D19" s="27" t="s">
        <v>31</v>
      </c>
      <c r="E19" s="27"/>
      <c r="F19" s="24"/>
      <c r="G19" s="28" t="s">
        <v>29</v>
      </c>
      <c r="H19" s="28" t="s">
        <v>30</v>
      </c>
      <c r="I19" s="28" t="s">
        <v>31</v>
      </c>
      <c r="J19" s="28"/>
      <c r="K19" s="22"/>
      <c r="L19" s="22"/>
      <c r="M19" s="22"/>
      <c r="N19" s="22"/>
      <c r="O19" s="22"/>
    </row>
    <row r="20" spans="1:15" ht="12.75">
      <c r="A20" s="29" t="s">
        <v>33</v>
      </c>
      <c r="B20" s="35">
        <v>0.0018</v>
      </c>
      <c r="C20" s="35">
        <v>0.0018</v>
      </c>
      <c r="D20" s="35">
        <v>0.0018</v>
      </c>
      <c r="E20" s="27"/>
      <c r="F20" s="24"/>
      <c r="G20" s="37">
        <v>0.001</v>
      </c>
      <c r="H20" s="37">
        <v>0.001</v>
      </c>
      <c r="I20" s="37">
        <v>0.001</v>
      </c>
      <c r="J20" s="28"/>
      <c r="K20" s="22"/>
      <c r="L20" s="22"/>
      <c r="M20" s="22"/>
      <c r="N20" s="22"/>
      <c r="O20" s="22"/>
    </row>
    <row r="21" spans="1:15" ht="12.75">
      <c r="A21" s="29" t="s">
        <v>34</v>
      </c>
      <c r="B21" s="35">
        <v>0.0208</v>
      </c>
      <c r="C21" s="35">
        <v>0.0208</v>
      </c>
      <c r="D21" s="35">
        <v>0.0208</v>
      </c>
      <c r="E21" s="27"/>
      <c r="F21" s="24"/>
      <c r="G21" s="37">
        <v>0.0625</v>
      </c>
      <c r="H21" s="37">
        <v>0.0625</v>
      </c>
      <c r="I21" s="37">
        <v>0.0625</v>
      </c>
      <c r="J21" s="28"/>
      <c r="K21" s="22"/>
      <c r="L21" s="22"/>
      <c r="M21" s="22"/>
      <c r="N21" s="22"/>
      <c r="O21" s="22"/>
    </row>
    <row r="22" spans="1:15" ht="12.75">
      <c r="A22" s="29" t="s">
        <v>40</v>
      </c>
      <c r="B22" s="35">
        <f>B3/B5*B20+B4/B5*B21</f>
        <v>0.017706976744186045</v>
      </c>
      <c r="C22" s="35">
        <f>C3/C5*C20+C4/C5*C21</f>
        <v>0.012258715596330275</v>
      </c>
      <c r="D22" s="35">
        <f>D3/D5*D20+D4/D5*D21</f>
        <v>0.006022222222222222</v>
      </c>
      <c r="E22" s="27"/>
      <c r="F22" s="24"/>
      <c r="G22" s="37">
        <f>G3/G5*G20+G4/G5*G21</f>
        <v>0.050199999999999995</v>
      </c>
      <c r="H22" s="37">
        <f>H3/H5*H20+H4/H5*H21</f>
        <v>0.050199999999999995</v>
      </c>
      <c r="I22" s="37">
        <f>I3/I5*I20+I4/I5*I21</f>
        <v>0.050199999999999995</v>
      </c>
      <c r="J22" s="28"/>
      <c r="K22" s="22"/>
      <c r="L22" s="22"/>
      <c r="M22" s="22"/>
      <c r="N22" s="22"/>
      <c r="O22" s="22"/>
    </row>
    <row r="23" spans="1:15" ht="12.75">
      <c r="A23" s="29"/>
      <c r="B23" s="27"/>
      <c r="C23" s="27"/>
      <c r="D23" s="27"/>
      <c r="E23" s="27"/>
      <c r="F23" s="24"/>
      <c r="G23" s="28"/>
      <c r="H23" s="28"/>
      <c r="I23" s="28"/>
      <c r="J23" s="28"/>
      <c r="K23" s="22"/>
      <c r="L23" s="22"/>
      <c r="M23" s="22"/>
      <c r="N23" s="22"/>
      <c r="O23" s="22"/>
    </row>
    <row r="24" spans="1:15" ht="12.75">
      <c r="A24" s="26" t="s">
        <v>41</v>
      </c>
      <c r="B24" s="27" t="s">
        <v>29</v>
      </c>
      <c r="C24" s="27" t="s">
        <v>30</v>
      </c>
      <c r="D24" s="27" t="s">
        <v>31</v>
      </c>
      <c r="E24" s="27"/>
      <c r="F24" s="24"/>
      <c r="G24" s="28" t="s">
        <v>29</v>
      </c>
      <c r="H24" s="28" t="s">
        <v>30</v>
      </c>
      <c r="I24" s="28" t="s">
        <v>31</v>
      </c>
      <c r="J24" s="28"/>
      <c r="K24" s="22"/>
      <c r="L24" s="22"/>
      <c r="M24" s="22"/>
      <c r="N24" s="22"/>
      <c r="O24" s="22"/>
    </row>
    <row r="25" spans="1:15" ht="12.75">
      <c r="A25" s="29" t="s">
        <v>33</v>
      </c>
      <c r="B25" s="40">
        <f aca="true" t="shared" si="4" ref="B25:D26">B15*B20</f>
        <v>0.0033767999999999997</v>
      </c>
      <c r="C25" s="40">
        <f t="shared" si="4"/>
        <v>0.00162288</v>
      </c>
      <c r="D25" s="40">
        <f t="shared" si="4"/>
        <v>0.000314496</v>
      </c>
      <c r="E25" s="27"/>
      <c r="F25" s="24"/>
      <c r="G25" s="41">
        <f aca="true" t="shared" si="5" ref="G25:I26">G15*G20</f>
        <v>0.0014293333333333335</v>
      </c>
      <c r="H25" s="41">
        <f t="shared" si="5"/>
        <v>9.813333333333334E-05</v>
      </c>
      <c r="I25" s="41">
        <f t="shared" si="5"/>
        <v>1.1093333333333334E-05</v>
      </c>
      <c r="J25" s="28"/>
      <c r="K25" s="22"/>
      <c r="L25" s="22"/>
      <c r="M25" s="22"/>
      <c r="N25" s="22"/>
      <c r="O25" s="22"/>
    </row>
    <row r="26" spans="1:15" ht="12.75">
      <c r="A26" s="29" t="s">
        <v>34</v>
      </c>
      <c r="B26" s="40">
        <f t="shared" si="4"/>
        <v>0.20067840000000003</v>
      </c>
      <c r="C26" s="40">
        <f t="shared" si="4"/>
        <v>0.022963199999999996</v>
      </c>
      <c r="D26" s="40">
        <f t="shared" si="4"/>
        <v>0.001038336</v>
      </c>
      <c r="E26" s="27"/>
      <c r="F26" s="24"/>
      <c r="G26" s="41">
        <f t="shared" si="5"/>
        <v>0.35733333333333334</v>
      </c>
      <c r="H26" s="41">
        <f t="shared" si="5"/>
        <v>0.024533333333333334</v>
      </c>
      <c r="I26" s="41">
        <f t="shared" si="5"/>
        <v>0.0027733333333333334</v>
      </c>
      <c r="J26" s="28"/>
      <c r="K26" s="22"/>
      <c r="L26" s="22"/>
      <c r="M26" s="22"/>
      <c r="N26" s="22"/>
      <c r="O26" s="22"/>
    </row>
    <row r="27" spans="1:15" ht="12.75">
      <c r="A27" s="26" t="s">
        <v>42</v>
      </c>
      <c r="B27" s="42">
        <f>B25+B26</f>
        <v>0.20405520000000005</v>
      </c>
      <c r="C27" s="42">
        <f>C25+C26</f>
        <v>0.024586079999999996</v>
      </c>
      <c r="D27" s="42">
        <f>D25+D26</f>
        <v>0.001352832</v>
      </c>
      <c r="E27" s="42"/>
      <c r="F27" s="43"/>
      <c r="G27" s="44">
        <f>G25+G26</f>
        <v>0.3587626666666667</v>
      </c>
      <c r="H27" s="44">
        <f>H25+H26</f>
        <v>0.024631466666666667</v>
      </c>
      <c r="I27" s="44">
        <f>I25+I26</f>
        <v>0.0027844266666666668</v>
      </c>
      <c r="J27" s="28"/>
      <c r="K27" s="22"/>
      <c r="L27" s="22"/>
      <c r="M27" s="22"/>
      <c r="N27" s="22"/>
      <c r="O27" s="22"/>
    </row>
    <row r="28" spans="1:15" ht="25.5">
      <c r="A28" s="22"/>
      <c r="B28" s="45" t="s">
        <v>29</v>
      </c>
      <c r="C28" s="45" t="s">
        <v>30</v>
      </c>
      <c r="D28" s="45" t="s">
        <v>31</v>
      </c>
      <c r="E28" s="24"/>
      <c r="F28" s="24"/>
      <c r="G28" s="24"/>
      <c r="H28" s="24"/>
      <c r="I28" s="24"/>
      <c r="J28" s="24"/>
      <c r="K28" s="22"/>
      <c r="L28" s="22"/>
      <c r="M28" s="22"/>
      <c r="N28" s="22"/>
      <c r="O28" s="22"/>
    </row>
    <row r="29" spans="1:15" ht="12.75">
      <c r="A29" s="46" t="s">
        <v>43</v>
      </c>
      <c r="B29" s="47">
        <f>B27+G27</f>
        <v>0.5628178666666668</v>
      </c>
      <c r="C29" s="47">
        <f>C27+H27</f>
        <v>0.04921754666666667</v>
      </c>
      <c r="D29" s="47">
        <f>D27+I27</f>
        <v>0.004137258666666667</v>
      </c>
      <c r="E29" s="24"/>
      <c r="F29" s="24"/>
      <c r="G29" s="24"/>
      <c r="H29" s="24"/>
      <c r="I29" s="24"/>
      <c r="J29" s="24"/>
      <c r="K29" s="22"/>
      <c r="L29" s="22"/>
      <c r="M29" s="22"/>
      <c r="N29" s="22"/>
      <c r="O29" s="22"/>
    </row>
    <row r="30" spans="1:15" ht="12.75">
      <c r="A30" s="48" t="s">
        <v>44</v>
      </c>
      <c r="B30" s="49">
        <f>(B22*B5/(B5+G5)+G22*G5/(B5+G5))*12*60</f>
        <v>21.70403827751196</v>
      </c>
      <c r="C30" s="49">
        <f>(C22*C5/(C5+H5)+H22*H5/(C5+H5))*12*60</f>
        <v>14.19585257985258</v>
      </c>
      <c r="D30" s="49">
        <f>(D22*D5/(D5+I5)+I22*I5/(D5+I5))*12*60</f>
        <v>10.63461386138614</v>
      </c>
      <c r="E30" s="24"/>
      <c r="F30" s="24"/>
      <c r="G30" s="24"/>
      <c r="H30" s="24"/>
      <c r="I30" s="24"/>
      <c r="J30" s="24"/>
      <c r="K30" s="22"/>
      <c r="L30" s="22"/>
      <c r="M30" s="22"/>
      <c r="N30" s="22"/>
      <c r="O30" s="22"/>
    </row>
    <row r="31" spans="1:15" ht="12.75">
      <c r="A31" s="50" t="s">
        <v>45</v>
      </c>
      <c r="B31" s="51">
        <f>B30*60</f>
        <v>1302.2422966507174</v>
      </c>
      <c r="C31" s="51">
        <f>C30*60</f>
        <v>851.7511547911548</v>
      </c>
      <c r="D31" s="51">
        <f>D30*60</f>
        <v>638.0768316831684</v>
      </c>
      <c r="E31" s="24"/>
      <c r="F31" s="24"/>
      <c r="G31" s="24"/>
      <c r="H31" s="24"/>
      <c r="I31" s="24"/>
      <c r="J31" s="24"/>
      <c r="K31" s="22"/>
      <c r="L31" s="22"/>
      <c r="M31" s="22"/>
      <c r="N31" s="22"/>
      <c r="O31" s="22"/>
    </row>
    <row r="32" spans="1:15" ht="12.75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2"/>
      <c r="L32" s="22"/>
      <c r="M32" s="22"/>
      <c r="N32" s="22"/>
      <c r="O32" s="22"/>
    </row>
    <row r="33" spans="1:15" ht="12.75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2"/>
      <c r="L33" s="22"/>
      <c r="M33" s="22"/>
      <c r="N33" s="22"/>
      <c r="O33" s="22"/>
    </row>
    <row r="34" spans="1:15" ht="12.75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2"/>
      <c r="L34" s="22"/>
      <c r="M34" s="22"/>
      <c r="N34" s="22"/>
      <c r="O34" s="22"/>
    </row>
    <row r="35" spans="1:15" ht="12.75">
      <c r="A35" s="22"/>
      <c r="B35" s="24"/>
      <c r="C35" s="24"/>
      <c r="D35" s="24"/>
      <c r="E35" s="24"/>
      <c r="F35" s="24"/>
      <c r="G35" s="24"/>
      <c r="H35" s="24"/>
      <c r="I35" s="24"/>
      <c r="J35" s="24"/>
      <c r="K35" s="22"/>
      <c r="L35" s="22"/>
      <c r="M35" s="22"/>
      <c r="N35" s="22"/>
      <c r="O35" s="22"/>
    </row>
    <row r="36" spans="1:15" ht="12.75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2"/>
      <c r="L36" s="22"/>
      <c r="M36" s="22"/>
      <c r="N36" s="22"/>
      <c r="O36" s="22"/>
    </row>
  </sheetData>
  <mergeCells count="2">
    <mergeCell ref="B1:E1"/>
    <mergeCell ref="G1:J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4" sqref="D14"/>
    </sheetView>
  </sheetViews>
  <sheetFormatPr defaultColWidth="9.140625" defaultRowHeight="12.75"/>
  <cols>
    <col min="1" max="1" width="14.7109375" style="0" customWidth="1"/>
    <col min="2" max="2" width="22.8515625" style="0" customWidth="1"/>
    <col min="3" max="16384" width="11.421875" style="0" customWidth="1"/>
  </cols>
  <sheetData>
    <row r="1" spans="1:6" ht="12.75">
      <c r="A1" s="1"/>
      <c r="B1" s="6" t="s">
        <v>88</v>
      </c>
      <c r="C1" s="131" t="s">
        <v>89</v>
      </c>
      <c r="D1" s="131" t="s">
        <v>90</v>
      </c>
      <c r="E1" s="131" t="s">
        <v>91</v>
      </c>
      <c r="F1" s="131" t="s">
        <v>92</v>
      </c>
    </row>
    <row r="2" spans="1:6" ht="12.75">
      <c r="A2" s="1"/>
      <c r="B2" s="1"/>
      <c r="C2" s="131" t="s">
        <v>93</v>
      </c>
      <c r="D2" s="131" t="s">
        <v>94</v>
      </c>
      <c r="E2" s="131" t="s">
        <v>95</v>
      </c>
      <c r="F2" s="131" t="s">
        <v>80</v>
      </c>
    </row>
    <row r="3" spans="1:6" ht="12.75">
      <c r="A3" s="1"/>
      <c r="B3" s="1"/>
      <c r="C3" s="132" t="s">
        <v>31</v>
      </c>
      <c r="D3" s="132" t="s">
        <v>31</v>
      </c>
      <c r="E3" s="132" t="s">
        <v>31</v>
      </c>
      <c r="F3" s="132" t="s">
        <v>31</v>
      </c>
    </row>
    <row r="4" spans="1:6" ht="12.75">
      <c r="A4" s="1"/>
      <c r="B4" s="1" t="s">
        <v>96</v>
      </c>
      <c r="C4" s="1">
        <v>-55</v>
      </c>
      <c r="D4" s="1">
        <v>-55</v>
      </c>
      <c r="E4" s="1">
        <v>-85</v>
      </c>
      <c r="F4" s="1">
        <v>-55</v>
      </c>
    </row>
    <row r="5" spans="1:6" ht="12.75">
      <c r="A5" s="1"/>
      <c r="B5" s="1" t="s">
        <v>97</v>
      </c>
      <c r="C5" s="1">
        <v>-55</v>
      </c>
      <c r="D5" s="1">
        <v>-55</v>
      </c>
      <c r="E5" s="1">
        <v>-70</v>
      </c>
      <c r="F5" s="1">
        <v>-55</v>
      </c>
    </row>
    <row r="6" spans="1:6" ht="12.75">
      <c r="A6" s="1"/>
      <c r="B6" s="1" t="s">
        <v>98</v>
      </c>
      <c r="C6" s="1">
        <v>28.5</v>
      </c>
      <c r="D6" s="1">
        <v>27.4</v>
      </c>
      <c r="E6" s="1">
        <v>10</v>
      </c>
      <c r="F6" s="1">
        <f>10+11.1+7.4</f>
        <v>28.5</v>
      </c>
    </row>
    <row r="7" spans="1:6" ht="12.75">
      <c r="A7" s="4" t="s">
        <v>99</v>
      </c>
      <c r="B7" s="4" t="s">
        <v>100</v>
      </c>
      <c r="C7" s="4">
        <f>C4-C6</f>
        <v>-83.5</v>
      </c>
      <c r="D7" s="4">
        <f>D4-D6</f>
        <v>-82.4</v>
      </c>
      <c r="E7" s="4">
        <f>E4-E6</f>
        <v>-95</v>
      </c>
      <c r="F7" s="4">
        <f>F4-F6</f>
        <v>-83.5</v>
      </c>
    </row>
    <row r="8" spans="1:6" ht="12.75">
      <c r="A8" s="4" t="s">
        <v>99</v>
      </c>
      <c r="B8" s="4" t="s">
        <v>101</v>
      </c>
      <c r="C8" s="4">
        <f>C5-C6</f>
        <v>-83.5</v>
      </c>
      <c r="D8" s="4">
        <f>D5-D6</f>
        <v>-82.4</v>
      </c>
      <c r="E8" s="4">
        <f>E5-E6</f>
        <v>-80</v>
      </c>
      <c r="F8" s="4">
        <f>F5-F6</f>
        <v>-83.5</v>
      </c>
    </row>
    <row r="9" spans="1:6" ht="12.75">
      <c r="A9" s="4" t="s">
        <v>99</v>
      </c>
      <c r="B9" s="4" t="s">
        <v>102</v>
      </c>
      <c r="C9" s="4">
        <v>0.22</v>
      </c>
      <c r="D9" s="4">
        <v>0.06</v>
      </c>
      <c r="E9" s="4">
        <v>100</v>
      </c>
      <c r="F9" s="4">
        <v>0.052</v>
      </c>
    </row>
    <row r="10" spans="1:6" ht="12.75">
      <c r="A10" s="4" t="s">
        <v>99</v>
      </c>
      <c r="B10" s="4" t="s">
        <v>103</v>
      </c>
      <c r="C10" s="4">
        <v>0.006</v>
      </c>
      <c r="D10" s="4">
        <v>0.05</v>
      </c>
      <c r="E10" s="4">
        <v>0.01</v>
      </c>
      <c r="F10" s="4">
        <v>0.0028</v>
      </c>
    </row>
    <row r="11" spans="1:6" ht="12.75">
      <c r="A11" s="4" t="s">
        <v>99</v>
      </c>
      <c r="B11" s="4" t="s">
        <v>104</v>
      </c>
      <c r="C11" s="4">
        <v>1</v>
      </c>
      <c r="D11" s="4">
        <v>1</v>
      </c>
      <c r="E11" s="4">
        <v>1</v>
      </c>
      <c r="F11" s="4">
        <v>1</v>
      </c>
    </row>
    <row r="12" spans="1:6" ht="12.75">
      <c r="A12" s="4" t="s">
        <v>99</v>
      </c>
      <c r="B12" s="4" t="s">
        <v>105</v>
      </c>
      <c r="C12" s="4">
        <v>4</v>
      </c>
      <c r="D12" s="4">
        <v>9</v>
      </c>
      <c r="E12" s="4">
        <v>2827</v>
      </c>
      <c r="F12" s="4">
        <v>1</v>
      </c>
    </row>
    <row r="13" spans="1:6" ht="12.75">
      <c r="A13" s="1"/>
      <c r="B13" s="1" t="s">
        <v>106</v>
      </c>
      <c r="C13" s="5">
        <f>SQRT(C12/(PI()*C10*C11*C9))</f>
        <v>31.05761440739056</v>
      </c>
      <c r="D13" s="5">
        <f>SQRT(D12/(PI()*D10*D11*D9))</f>
        <v>30.90193616185517</v>
      </c>
      <c r="E13" s="5">
        <f>SQRT(E12/(PI()*E10*E11*E9))</f>
        <v>29.99770071591448</v>
      </c>
      <c r="F13" s="5">
        <f>SQRT(F12/(PI()*F10*F11*F9))</f>
        <v>46.756756444821114</v>
      </c>
    </row>
    <row r="14" spans="1:6" ht="12.75">
      <c r="A14" s="1"/>
      <c r="B14" s="1" t="s">
        <v>107</v>
      </c>
      <c r="C14" s="133">
        <f>(C13^2)*PI()</f>
        <v>3030.3030303030305</v>
      </c>
      <c r="D14" s="133">
        <f>(D13^2)*PI()</f>
        <v>3000</v>
      </c>
      <c r="E14" s="133">
        <f>(E13^2)*PI()</f>
        <v>2826.9999999999995</v>
      </c>
      <c r="F14" s="133">
        <f>(F13^2)*PI()</f>
        <v>6868.131868131869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6"/>
    </sheetView>
  </sheetViews>
  <sheetFormatPr defaultColWidth="9.140625" defaultRowHeight="12.75"/>
  <cols>
    <col min="1" max="1" width="40.00390625" style="0" bestFit="1" customWidth="1"/>
    <col min="2" max="2" width="6.140625" style="0" bestFit="1" customWidth="1"/>
    <col min="3" max="5" width="5.00390625" style="0" bestFit="1" customWidth="1"/>
  </cols>
  <sheetData>
    <row r="1" spans="1:5" ht="12.75">
      <c r="A1" s="134" t="s">
        <v>57</v>
      </c>
      <c r="B1" s="135">
        <v>3.4</v>
      </c>
      <c r="C1" s="135">
        <v>3.4</v>
      </c>
      <c r="D1" s="135">
        <v>3.4</v>
      </c>
      <c r="E1" s="72">
        <v>3.4</v>
      </c>
    </row>
    <row r="2" spans="1:5" ht="15">
      <c r="A2" s="136" t="s">
        <v>58</v>
      </c>
      <c r="B2" s="137">
        <v>-50</v>
      </c>
      <c r="C2" s="137">
        <v>-60</v>
      </c>
      <c r="D2" s="137">
        <v>-50</v>
      </c>
      <c r="E2" s="75">
        <v>-60</v>
      </c>
    </row>
    <row r="3" spans="1:5" ht="15">
      <c r="A3" s="138" t="s">
        <v>59</v>
      </c>
      <c r="B3" s="139">
        <v>0</v>
      </c>
      <c r="C3" s="139">
        <f>B3</f>
        <v>0</v>
      </c>
      <c r="D3" s="139">
        <v>10</v>
      </c>
      <c r="E3" s="139">
        <v>10</v>
      </c>
    </row>
    <row r="4" spans="1:5" ht="12.75">
      <c r="A4" s="82" t="s">
        <v>108</v>
      </c>
      <c r="B4" s="4">
        <v>-115</v>
      </c>
      <c r="C4" s="4">
        <f>B4</f>
        <v>-115</v>
      </c>
      <c r="D4" s="4">
        <f>C4</f>
        <v>-115</v>
      </c>
      <c r="E4" s="4">
        <f>D4</f>
        <v>-115</v>
      </c>
    </row>
    <row r="5" spans="1:5" ht="12.75">
      <c r="A5" s="82" t="s">
        <v>61</v>
      </c>
      <c r="B5" s="1">
        <f>B2-B3-B4</f>
        <v>65</v>
      </c>
      <c r="C5" s="1">
        <f>C2-C3-C4</f>
        <v>55</v>
      </c>
      <c r="D5" s="1">
        <f>D2-D3-D4</f>
        <v>55</v>
      </c>
      <c r="E5" s="83">
        <f>E2-E3-E4</f>
        <v>45</v>
      </c>
    </row>
    <row r="6" spans="1:5" ht="15.75" thickBot="1">
      <c r="A6" s="140" t="s">
        <v>62</v>
      </c>
      <c r="B6" s="141">
        <f>10^((B5-32.5-20*LOG(B1))/20)</f>
        <v>12.402838336134772</v>
      </c>
      <c r="C6" s="141">
        <f>10^((C5-32.5-20*LOG(C1))/20)</f>
        <v>3.922121859303895</v>
      </c>
      <c r="D6" s="141">
        <f>10^((D5-32.5-20*LOG(D1))/20)</f>
        <v>3.922121859303895</v>
      </c>
      <c r="E6" s="142">
        <f>10^((E5-32.5-20*LOG(E1))/20)</f>
        <v>1.2402838336134772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6"/>
    </sheetView>
  </sheetViews>
  <sheetFormatPr defaultColWidth="9.140625" defaultRowHeight="12.75"/>
  <cols>
    <col min="1" max="1" width="40.00390625" style="0" bestFit="1" customWidth="1"/>
    <col min="2" max="5" width="5.00390625" style="0" bestFit="1" customWidth="1"/>
  </cols>
  <sheetData>
    <row r="1" spans="1:5" ht="12.75">
      <c r="A1" s="134" t="s">
        <v>57</v>
      </c>
      <c r="B1" s="135">
        <v>3.4</v>
      </c>
      <c r="C1" s="135">
        <v>3.4</v>
      </c>
      <c r="D1" s="135">
        <v>3.4</v>
      </c>
      <c r="E1" s="72">
        <v>3.4</v>
      </c>
    </row>
    <row r="2" spans="1:5" ht="15">
      <c r="A2" s="136" t="s">
        <v>58</v>
      </c>
      <c r="B2" s="137">
        <v>-50</v>
      </c>
      <c r="C2" s="137">
        <v>-55</v>
      </c>
      <c r="D2" s="137">
        <v>-60</v>
      </c>
      <c r="E2" s="75">
        <v>-65</v>
      </c>
    </row>
    <row r="3" spans="1:5" ht="15">
      <c r="A3" s="138" t="s">
        <v>59</v>
      </c>
      <c r="B3" s="139">
        <v>20</v>
      </c>
      <c r="C3" s="139">
        <v>20</v>
      </c>
      <c r="D3" s="139">
        <f>C3</f>
        <v>20</v>
      </c>
      <c r="E3" s="139">
        <f>D3</f>
        <v>20</v>
      </c>
    </row>
    <row r="4" spans="1:5" ht="12.75">
      <c r="A4" s="82" t="s">
        <v>108</v>
      </c>
      <c r="B4" s="4">
        <v>-115</v>
      </c>
      <c r="C4" s="4">
        <f>B4</f>
        <v>-115</v>
      </c>
      <c r="D4" s="4">
        <f>C4</f>
        <v>-115</v>
      </c>
      <c r="E4" s="4">
        <f>D4</f>
        <v>-115</v>
      </c>
    </row>
    <row r="5" spans="1:5" ht="12.75">
      <c r="A5" s="82" t="s">
        <v>61</v>
      </c>
      <c r="B5" s="1">
        <f>B2-B3-B4</f>
        <v>45</v>
      </c>
      <c r="C5" s="1">
        <f>C2-C3-C4</f>
        <v>40</v>
      </c>
      <c r="D5" s="1">
        <f>D2-D3-D4</f>
        <v>35</v>
      </c>
      <c r="E5" s="83">
        <f>E2-E3-E4</f>
        <v>30</v>
      </c>
    </row>
    <row r="6" spans="1:5" ht="15.75" thickBot="1">
      <c r="A6" s="140" t="s">
        <v>62</v>
      </c>
      <c r="B6" s="141">
        <f>10^((B5-32.5-20*LOG(B1))/20)</f>
        <v>1.2402838336134772</v>
      </c>
      <c r="C6" s="141">
        <f>10^((C5-32.5-20*LOG(C1))/20)</f>
        <v>0.697462854606369</v>
      </c>
      <c r="D6" s="141">
        <f>10^((D5-32.5-20*LOG(D1))/20)</f>
        <v>0.3922121859303893</v>
      </c>
      <c r="E6" s="142">
        <f>10^((E5-32.5-20*LOG(E1))/20)</f>
        <v>0.22055712039189876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6" sqref="C6"/>
    </sheetView>
  </sheetViews>
  <sheetFormatPr defaultColWidth="9.140625" defaultRowHeight="12.75"/>
  <cols>
    <col min="1" max="1" width="18.00390625" style="0" customWidth="1"/>
    <col min="2" max="7" width="9.7109375" style="0" customWidth="1"/>
    <col min="8" max="16384" width="11.421875" style="0" customWidth="1"/>
  </cols>
  <sheetData>
    <row r="1" spans="1:7" ht="12.75">
      <c r="A1" s="134" t="s">
        <v>11</v>
      </c>
      <c r="B1" s="143">
        <v>5.25</v>
      </c>
      <c r="C1" s="143">
        <v>5.25</v>
      </c>
      <c r="D1" s="143">
        <v>5.25</v>
      </c>
      <c r="E1" s="143">
        <v>5.25</v>
      </c>
      <c r="F1" s="144">
        <v>5.25</v>
      </c>
      <c r="G1" s="144">
        <v>5.25</v>
      </c>
    </row>
    <row r="2" spans="1:7" ht="12.75">
      <c r="A2" s="82" t="s">
        <v>50</v>
      </c>
      <c r="B2" s="1">
        <f aca="true" t="shared" si="0" ref="B2:G2">-114+5-6</f>
        <v>-115</v>
      </c>
      <c r="C2" s="1">
        <f t="shared" si="0"/>
        <v>-115</v>
      </c>
      <c r="D2" s="1">
        <f t="shared" si="0"/>
        <v>-115</v>
      </c>
      <c r="E2" s="1">
        <f t="shared" si="0"/>
        <v>-115</v>
      </c>
      <c r="F2" s="83">
        <f t="shared" si="0"/>
        <v>-115</v>
      </c>
      <c r="G2" s="83">
        <f t="shared" si="0"/>
        <v>-115</v>
      </c>
    </row>
    <row r="3" spans="1:7" ht="12.75">
      <c r="A3" s="82" t="s">
        <v>109</v>
      </c>
      <c r="B3" s="1">
        <v>47</v>
      </c>
      <c r="C3" s="1">
        <v>47</v>
      </c>
      <c r="D3" s="1">
        <v>47</v>
      </c>
      <c r="E3" s="1">
        <v>47</v>
      </c>
      <c r="F3" s="83">
        <v>47</v>
      </c>
      <c r="G3" s="83">
        <v>47</v>
      </c>
    </row>
    <row r="4" spans="1:7" ht="12.75">
      <c r="A4" s="82" t="s">
        <v>110</v>
      </c>
      <c r="B4" s="1">
        <v>-50</v>
      </c>
      <c r="C4" s="1">
        <v>-50</v>
      </c>
      <c r="D4" s="1">
        <v>-60</v>
      </c>
      <c r="E4" s="1">
        <v>-60</v>
      </c>
      <c r="F4" s="83">
        <v>-70</v>
      </c>
      <c r="G4" s="83">
        <v>-70</v>
      </c>
    </row>
    <row r="5" spans="1:7" ht="12.75">
      <c r="A5" s="82" t="s">
        <v>111</v>
      </c>
      <c r="B5" s="1">
        <v>10</v>
      </c>
      <c r="C5" s="1">
        <v>20</v>
      </c>
      <c r="D5" s="1">
        <v>10</v>
      </c>
      <c r="E5" s="1">
        <v>20</v>
      </c>
      <c r="F5" s="83">
        <v>10</v>
      </c>
      <c r="G5" s="83">
        <v>20</v>
      </c>
    </row>
    <row r="6" spans="1:7" ht="13.5" thickBot="1">
      <c r="A6" s="145" t="s">
        <v>112</v>
      </c>
      <c r="B6" s="146">
        <f aca="true" t="shared" si="1" ref="B6:G6">10^((B4+B3-B2-32.5-20*LOG(B1)-B5)/20)</f>
        <v>568.6443083653257</v>
      </c>
      <c r="C6" s="146">
        <f t="shared" si="1"/>
        <v>179.82111929255694</v>
      </c>
      <c r="D6" s="146">
        <f t="shared" si="1"/>
        <v>179.82111929255694</v>
      </c>
      <c r="E6" s="146">
        <f t="shared" si="1"/>
        <v>56.86443083653257</v>
      </c>
      <c r="F6" s="147">
        <f t="shared" si="1"/>
        <v>56.86443083653257</v>
      </c>
      <c r="G6" s="147">
        <f t="shared" si="1"/>
        <v>17.982111929255684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1" sqref="B11"/>
    </sheetView>
  </sheetViews>
  <sheetFormatPr defaultColWidth="9.140625" defaultRowHeight="12.75"/>
  <cols>
    <col min="1" max="1" width="19.00390625" style="0" bestFit="1" customWidth="1"/>
    <col min="2" max="2" width="32.7109375" style="0" bestFit="1" customWidth="1"/>
    <col min="3" max="3" width="12.421875" style="0" bestFit="1" customWidth="1"/>
  </cols>
  <sheetData>
    <row r="1" spans="1:2" ht="12.75">
      <c r="A1" s="1"/>
      <c r="B1" s="1" t="s">
        <v>113</v>
      </c>
    </row>
    <row r="2" spans="1:3" ht="12.75">
      <c r="A2" s="1" t="s">
        <v>114</v>
      </c>
      <c r="B2" s="1">
        <v>50</v>
      </c>
      <c r="C2" s="1">
        <v>50</v>
      </c>
    </row>
    <row r="3" spans="1:3" ht="12.75">
      <c r="A3" s="1" t="s">
        <v>115</v>
      </c>
      <c r="B3" s="148">
        <f>0.000001*10^(B2/20)</f>
        <v>0.0003162277660168382</v>
      </c>
      <c r="C3" s="148">
        <f>0.000001*10^(C2/20)</f>
        <v>0.0003162277660168382</v>
      </c>
    </row>
    <row r="4" spans="1:3" ht="12.75">
      <c r="A4" s="1" t="s">
        <v>112</v>
      </c>
      <c r="B4" s="1">
        <v>3</v>
      </c>
      <c r="C4" s="1">
        <v>3</v>
      </c>
    </row>
    <row r="5" spans="1:3" ht="12.75">
      <c r="A5" s="1" t="s">
        <v>116</v>
      </c>
      <c r="B5" s="1">
        <v>377</v>
      </c>
      <c r="C5" s="1">
        <v>377</v>
      </c>
    </row>
    <row r="6" spans="1:3" ht="12.75">
      <c r="A6" s="1" t="s">
        <v>117</v>
      </c>
      <c r="B6" s="1">
        <f>(B3^2)*4*PI()*(B4^2)/B5</f>
        <v>2.999929324382832E-08</v>
      </c>
      <c r="C6" s="1">
        <f>(C3^2)*4*PI()*(C4^2)/C5</f>
        <v>2.999929324382832E-08</v>
      </c>
    </row>
    <row r="7" spans="1:3" ht="12.75">
      <c r="A7" s="1" t="s">
        <v>110</v>
      </c>
      <c r="B7" s="149">
        <f>10*LOG(B6/0.001)</f>
        <v>-45.228889767443704</v>
      </c>
      <c r="C7" s="149">
        <f>10*LOG(C6/0.001)</f>
        <v>-45.228889767443704</v>
      </c>
    </row>
    <row r="8" spans="1:3" ht="12.75">
      <c r="A8" s="1" t="s">
        <v>118</v>
      </c>
      <c r="B8" s="5">
        <v>0.5</v>
      </c>
      <c r="C8" s="5">
        <v>3</v>
      </c>
    </row>
    <row r="9" spans="1:3" ht="12.75">
      <c r="A9" s="1" t="s">
        <v>11</v>
      </c>
      <c r="B9" s="5">
        <v>1.8</v>
      </c>
      <c r="C9" s="5">
        <v>1.8</v>
      </c>
    </row>
    <row r="10" spans="1:3" ht="12.75">
      <c r="A10" s="1" t="s">
        <v>119</v>
      </c>
      <c r="B10" s="133">
        <f>32.5+20*LOG(B9)+20*LOG(B8)</f>
        <v>31.584850188786497</v>
      </c>
      <c r="C10" s="133">
        <f>32.5+20*LOG(C9)+20*LOG(C8)</f>
        <v>47.14787519645937</v>
      </c>
    </row>
    <row r="11" spans="1:3" ht="12.75">
      <c r="A11" s="6" t="s">
        <v>120</v>
      </c>
      <c r="B11" s="149">
        <f>B7-B10</f>
        <v>-76.8137399562302</v>
      </c>
      <c r="C11" s="149">
        <f>C7-C10</f>
        <v>-92.37676496390307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4.7109375" style="0" bestFit="1" customWidth="1"/>
    <col min="2" max="2" width="22.8515625" style="0" bestFit="1" customWidth="1"/>
    <col min="4" max="4" width="8.421875" style="0" bestFit="1" customWidth="1"/>
    <col min="5" max="6" width="7.57421875" style="0" bestFit="1" customWidth="1"/>
  </cols>
  <sheetData>
    <row r="1" spans="1:6" ht="12.75">
      <c r="A1" s="1"/>
      <c r="B1" s="6" t="s">
        <v>88</v>
      </c>
      <c r="C1" s="131" t="s">
        <v>89</v>
      </c>
      <c r="D1" s="131" t="s">
        <v>90</v>
      </c>
      <c r="E1" s="131" t="s">
        <v>91</v>
      </c>
      <c r="F1" s="131" t="s">
        <v>92</v>
      </c>
    </row>
    <row r="2" spans="1:6" ht="12.75">
      <c r="A2" s="1"/>
      <c r="B2" s="1"/>
      <c r="C2" s="131" t="s">
        <v>93</v>
      </c>
      <c r="D2" s="131" t="s">
        <v>94</v>
      </c>
      <c r="E2" s="131" t="s">
        <v>95</v>
      </c>
      <c r="F2" s="131" t="s">
        <v>80</v>
      </c>
    </row>
    <row r="3" spans="1:6" ht="12.75">
      <c r="A3" s="1"/>
      <c r="B3" s="1"/>
      <c r="C3" s="132" t="s">
        <v>31</v>
      </c>
      <c r="D3" s="132" t="s">
        <v>31</v>
      </c>
      <c r="E3" s="132" t="s">
        <v>31</v>
      </c>
      <c r="F3" s="132" t="s">
        <v>31</v>
      </c>
    </row>
    <row r="4" spans="1:6" ht="12.75">
      <c r="A4" s="1"/>
      <c r="B4" s="1" t="s">
        <v>96</v>
      </c>
      <c r="C4" s="1">
        <v>-55</v>
      </c>
      <c r="D4" s="1">
        <v>-55</v>
      </c>
      <c r="E4" s="1">
        <v>-85</v>
      </c>
      <c r="F4" s="1">
        <v>-55</v>
      </c>
    </row>
    <row r="5" spans="1:6" ht="12.75">
      <c r="A5" s="1"/>
      <c r="B5" s="1" t="s">
        <v>97</v>
      </c>
      <c r="C5" s="1">
        <v>-55</v>
      </c>
      <c r="D5" s="1">
        <v>-55</v>
      </c>
      <c r="E5" s="1">
        <v>-70</v>
      </c>
      <c r="F5" s="1">
        <v>-55</v>
      </c>
    </row>
    <row r="6" spans="1:6" ht="12.75">
      <c r="A6" s="1"/>
      <c r="B6" s="1" t="s">
        <v>98</v>
      </c>
      <c r="C6" s="1">
        <v>28.5</v>
      </c>
      <c r="D6" s="1">
        <v>32.4</v>
      </c>
      <c r="E6" s="1">
        <v>10</v>
      </c>
      <c r="F6" s="1">
        <f>10+11.1+7.4</f>
        <v>28.5</v>
      </c>
    </row>
    <row r="7" spans="1:6" ht="12.75">
      <c r="A7" s="4" t="s">
        <v>99</v>
      </c>
      <c r="B7" s="4" t="s">
        <v>100</v>
      </c>
      <c r="C7" s="4">
        <f>C4-C6</f>
        <v>-83.5</v>
      </c>
      <c r="D7" s="4">
        <f>D4-D6</f>
        <v>-87.4</v>
      </c>
      <c r="E7" s="4">
        <f>E4-E6</f>
        <v>-95</v>
      </c>
      <c r="F7" s="4">
        <f>F4-F6</f>
        <v>-83.5</v>
      </c>
    </row>
    <row r="8" spans="1:6" ht="12.75">
      <c r="A8" s="4" t="s">
        <v>99</v>
      </c>
      <c r="B8" s="4" t="s">
        <v>101</v>
      </c>
      <c r="C8" s="4">
        <f>C5-C6</f>
        <v>-83.5</v>
      </c>
      <c r="D8" s="4">
        <f>D5-D6</f>
        <v>-87.4</v>
      </c>
      <c r="E8" s="4">
        <f>E5-E6</f>
        <v>-80</v>
      </c>
      <c r="F8" s="4">
        <f>F5-F6</f>
        <v>-83.5</v>
      </c>
    </row>
    <row r="9" spans="1:6" ht="12.75">
      <c r="A9" s="4" t="s">
        <v>99</v>
      </c>
      <c r="B9" s="4" t="s">
        <v>102</v>
      </c>
      <c r="C9" s="4">
        <v>0.22</v>
      </c>
      <c r="D9" s="4">
        <v>0.06</v>
      </c>
      <c r="E9" s="4">
        <v>100</v>
      </c>
      <c r="F9" s="4">
        <v>0.052</v>
      </c>
    </row>
    <row r="10" spans="1:6" ht="12.75">
      <c r="A10" s="4" t="s">
        <v>99</v>
      </c>
      <c r="B10" s="4" t="s">
        <v>103</v>
      </c>
      <c r="C10" s="4">
        <v>0.006</v>
      </c>
      <c r="D10" s="4">
        <v>0.05</v>
      </c>
      <c r="E10" s="4">
        <v>0.01</v>
      </c>
      <c r="F10" s="4">
        <v>0.0028</v>
      </c>
    </row>
    <row r="11" spans="1:6" ht="12.75">
      <c r="A11" s="4" t="s">
        <v>99</v>
      </c>
      <c r="B11" s="4" t="s">
        <v>104</v>
      </c>
      <c r="C11" s="4">
        <v>1</v>
      </c>
      <c r="D11" s="4">
        <v>1</v>
      </c>
      <c r="E11" s="4">
        <v>1</v>
      </c>
      <c r="F11" s="4">
        <v>1</v>
      </c>
    </row>
    <row r="12" spans="1:6" ht="12.75">
      <c r="A12" s="4" t="s">
        <v>99</v>
      </c>
      <c r="B12" s="4" t="s">
        <v>105</v>
      </c>
      <c r="C12" s="4">
        <v>4</v>
      </c>
      <c r="D12" s="4">
        <v>9</v>
      </c>
      <c r="E12" s="4">
        <v>2827</v>
      </c>
      <c r="F12" s="4">
        <v>0.4</v>
      </c>
    </row>
    <row r="13" spans="1:6" ht="12.75">
      <c r="A13" s="1"/>
      <c r="B13" s="1" t="s">
        <v>106</v>
      </c>
      <c r="C13" s="5">
        <f>SQRT(C12/(PI()*C10*C11*C9))</f>
        <v>31.05761440739056</v>
      </c>
      <c r="D13" s="5">
        <f>SQRT(D12/(PI()*D10*D11*D9))</f>
        <v>30.90193616185517</v>
      </c>
      <c r="E13" s="5">
        <f>SQRT(E12/(PI()*E10*E11*E9))</f>
        <v>29.99770071591448</v>
      </c>
      <c r="F13" s="5">
        <f>SQRT(F12/(PI()*F10*F11*F9))</f>
        <v>29.57156927347834</v>
      </c>
    </row>
    <row r="14" spans="1:6" ht="12.75">
      <c r="A14" s="1"/>
      <c r="B14" s="1" t="s">
        <v>107</v>
      </c>
      <c r="C14" s="133">
        <f>(C13^2)*PI()</f>
        <v>3030.3030303030305</v>
      </c>
      <c r="D14" s="133">
        <f>(D13^2)*PI()</f>
        <v>3000</v>
      </c>
      <c r="E14" s="133">
        <f>(E13^2)*PI()</f>
        <v>2826.9999999999995</v>
      </c>
      <c r="F14" s="133">
        <f>(F13^2)*PI()</f>
        <v>2747.252747252747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C5" sqref="C5"/>
    </sheetView>
  </sheetViews>
  <sheetFormatPr defaultColWidth="9.140625" defaultRowHeight="12.75"/>
  <cols>
    <col min="1" max="1" width="36.421875" style="0" bestFit="1" customWidth="1"/>
    <col min="2" max="2" width="6.1406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4</v>
      </c>
      <c r="B2" s="2">
        <v>0.001</v>
      </c>
    </row>
    <row r="3" spans="1:2" ht="12.75">
      <c r="A3" s="1" t="s">
        <v>5</v>
      </c>
      <c r="B3" s="3">
        <v>0.75</v>
      </c>
    </row>
    <row r="4" spans="1:2" ht="12.75">
      <c r="A4" s="1" t="s">
        <v>2</v>
      </c>
      <c r="B4" s="4">
        <v>-60</v>
      </c>
    </row>
    <row r="5" spans="1:2" ht="12.75">
      <c r="A5" s="1" t="s">
        <v>3</v>
      </c>
      <c r="B5" s="4">
        <v>-50</v>
      </c>
    </row>
    <row r="6" spans="1:2" ht="12.75">
      <c r="A6" s="1" t="s">
        <v>7</v>
      </c>
      <c r="B6" s="5">
        <f>10*LOG(B3*10^(B5/10)+(1-B3)*10^(B4/10))</f>
        <v>-51.1069829749369</v>
      </c>
    </row>
    <row r="7" spans="1:2" ht="12.75">
      <c r="A7" s="6" t="s">
        <v>6</v>
      </c>
      <c r="B7" s="7">
        <f>B5-B6</f>
        <v>1.1069829749368978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J29" sqref="J29"/>
    </sheetView>
  </sheetViews>
  <sheetFormatPr defaultColWidth="9.140625" defaultRowHeight="12.75"/>
  <cols>
    <col min="1" max="1" width="28.8515625" style="0" customWidth="1"/>
    <col min="2" max="2" width="13.421875" style="0" bestFit="1" customWidth="1"/>
  </cols>
  <sheetData>
    <row r="1" spans="1:2" ht="13.5" thickBot="1">
      <c r="A1" s="8"/>
      <c r="B1" s="9" t="s">
        <v>8</v>
      </c>
    </row>
    <row r="2" spans="1:2" ht="13.5" thickBot="1">
      <c r="A2" s="8"/>
      <c r="B2" s="9" t="s">
        <v>9</v>
      </c>
    </row>
    <row r="3" spans="1:2" ht="13.5" thickBot="1">
      <c r="A3" s="8"/>
      <c r="B3" s="9" t="s">
        <v>10</v>
      </c>
    </row>
    <row r="4" spans="1:2" ht="12.75">
      <c r="A4" s="10" t="s">
        <v>11</v>
      </c>
      <c r="B4" s="11">
        <v>2.7</v>
      </c>
    </row>
    <row r="5" spans="1:2" ht="12.75">
      <c r="A5" s="12" t="s">
        <v>12</v>
      </c>
      <c r="B5" s="13">
        <v>5</v>
      </c>
    </row>
    <row r="6" spans="1:2" ht="12.75">
      <c r="A6" s="12" t="s">
        <v>13</v>
      </c>
      <c r="B6" s="13">
        <v>70</v>
      </c>
    </row>
    <row r="7" spans="1:2" ht="12.75">
      <c r="A7" s="12" t="s">
        <v>14</v>
      </c>
      <c r="B7" s="13">
        <v>33.5</v>
      </c>
    </row>
    <row r="8" spans="1:2" ht="12.75">
      <c r="A8" s="14" t="s">
        <v>15</v>
      </c>
      <c r="B8" s="15">
        <f>B6+B7</f>
        <v>103.5</v>
      </c>
    </row>
    <row r="9" spans="1:2" ht="12.75">
      <c r="A9" s="14" t="s">
        <v>16</v>
      </c>
      <c r="B9" s="16">
        <f>0.001*10^(B8/10)</f>
        <v>22387211.38568341</v>
      </c>
    </row>
    <row r="10" spans="1:2" ht="12.75">
      <c r="A10" s="14" t="s">
        <v>17</v>
      </c>
      <c r="B10" s="15">
        <v>-110</v>
      </c>
    </row>
    <row r="11" spans="1:2" ht="12.75">
      <c r="A11" s="14" t="s">
        <v>18</v>
      </c>
      <c r="B11" s="15">
        <v>-10</v>
      </c>
    </row>
    <row r="12" spans="1:2" ht="12.75">
      <c r="A12" s="14" t="s">
        <v>19</v>
      </c>
      <c r="B12" s="15">
        <f>B10+B11</f>
        <v>-120</v>
      </c>
    </row>
    <row r="13" spans="1:2" ht="12.75">
      <c r="A13" s="14" t="s">
        <v>20</v>
      </c>
      <c r="B13" s="15">
        <v>-50</v>
      </c>
    </row>
    <row r="14" spans="1:2" ht="25.5">
      <c r="A14" s="14" t="s">
        <v>21</v>
      </c>
      <c r="B14" s="15">
        <f>10^(((B13+B7-B12)-32.5-20*LOG(B4))/20)</f>
        <v>1314.1236638280573</v>
      </c>
    </row>
    <row r="15" spans="1:2" ht="25.5">
      <c r="A15" s="14" t="s">
        <v>22</v>
      </c>
      <c r="B15" s="16">
        <f>B9/(4*PI()*B14^2)</f>
        <v>1.0316150380262235</v>
      </c>
    </row>
    <row r="16" spans="1:2" ht="12.75">
      <c r="A16" s="14" t="s">
        <v>23</v>
      </c>
      <c r="B16" s="17">
        <v>0</v>
      </c>
    </row>
    <row r="17" spans="1:2" ht="39" thickBot="1">
      <c r="A17" s="18" t="s">
        <v>24</v>
      </c>
      <c r="B17" s="19">
        <f>B8+B16-(32.5+20*LOG(B4)+20*LOG(B14))</f>
        <v>0</v>
      </c>
    </row>
    <row r="18" spans="1:2" ht="39" thickBot="1">
      <c r="A18" s="20" t="s">
        <v>25</v>
      </c>
      <c r="B18" s="21">
        <f>B17+10*LOG(1/B5)</f>
        <v>-6.9897000433601875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0" sqref="B10"/>
    </sheetView>
  </sheetViews>
  <sheetFormatPr defaultColWidth="9.140625" defaultRowHeight="12.75"/>
  <cols>
    <col min="1" max="1" width="25.8515625" style="0" customWidth="1"/>
    <col min="2" max="2" width="14.421875" style="0" customWidth="1"/>
    <col min="3" max="3" width="16.57421875" style="0" customWidth="1"/>
  </cols>
  <sheetData>
    <row r="1" spans="1:2" ht="13.5" thickBot="1">
      <c r="A1" s="22"/>
      <c r="B1" s="52" t="s">
        <v>46</v>
      </c>
    </row>
    <row r="2" spans="1:2" ht="12.75">
      <c r="A2" s="53" t="s">
        <v>11</v>
      </c>
      <c r="B2" s="54">
        <v>2.7</v>
      </c>
    </row>
    <row r="3" spans="1:2" ht="15">
      <c r="A3" s="55" t="s">
        <v>47</v>
      </c>
      <c r="B3" s="56">
        <v>21</v>
      </c>
    </row>
    <row r="4" spans="1:2" ht="12.75">
      <c r="A4" s="57" t="s">
        <v>14</v>
      </c>
      <c r="B4" s="58">
        <v>0</v>
      </c>
    </row>
    <row r="5" spans="1:2" ht="12.75">
      <c r="A5" s="59" t="s">
        <v>48</v>
      </c>
      <c r="B5" s="60">
        <f>B3+B4</f>
        <v>21</v>
      </c>
    </row>
    <row r="6" spans="1:2" ht="12.75">
      <c r="A6" s="59" t="s">
        <v>49</v>
      </c>
      <c r="B6" s="61">
        <f>0.001*10^(B5/10)</f>
        <v>0.12589254117941678</v>
      </c>
    </row>
    <row r="7" spans="1:2" ht="12.75">
      <c r="A7" s="59" t="s">
        <v>50</v>
      </c>
      <c r="B7" s="60">
        <v>-115</v>
      </c>
    </row>
    <row r="8" spans="1:2" ht="12.75">
      <c r="A8" s="59" t="s">
        <v>20</v>
      </c>
      <c r="B8" s="60">
        <v>-50</v>
      </c>
    </row>
    <row r="9" spans="1:2" ht="25.5">
      <c r="A9" s="59" t="s">
        <v>21</v>
      </c>
      <c r="B9" s="60">
        <f>10^(((B8+B4-B7)-32.5-20*LOG(B2))/20)</f>
        <v>15.618389015873419</v>
      </c>
    </row>
    <row r="10" spans="1:2" ht="38.25">
      <c r="A10" s="59" t="s">
        <v>22</v>
      </c>
      <c r="B10" s="61">
        <f>B6/(4*PI()*B9^2)</f>
        <v>4.1069334388905816E-05</v>
      </c>
    </row>
    <row r="11" spans="1:3" ht="38.25">
      <c r="A11" s="62" t="s">
        <v>51</v>
      </c>
      <c r="B11" s="63">
        <f>10*LOG(B10/0.001)</f>
        <v>-13.864823357041214</v>
      </c>
      <c r="C11" s="64" t="s">
        <v>52</v>
      </c>
    </row>
    <row r="12" spans="1:2" ht="12.75">
      <c r="A12" s="59" t="s">
        <v>23</v>
      </c>
      <c r="B12" s="65">
        <v>0</v>
      </c>
    </row>
    <row r="13" spans="1:3" ht="39" thickBot="1">
      <c r="A13" s="66" t="s">
        <v>53</v>
      </c>
      <c r="B13" s="67">
        <f>B5+B12-(32.5+20*LOG(B2)+20*LOG(B9))</f>
        <v>-44</v>
      </c>
      <c r="C13" s="64" t="s">
        <v>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7" sqref="D7"/>
    </sheetView>
  </sheetViews>
  <sheetFormatPr defaultColWidth="9.140625" defaultRowHeight="12.75"/>
  <cols>
    <col min="1" max="1" width="40.00390625" style="0" bestFit="1" customWidth="1"/>
    <col min="2" max="2" width="20.00390625" style="0" bestFit="1" customWidth="1"/>
    <col min="3" max="3" width="5.57421875" style="0" bestFit="1" customWidth="1"/>
  </cols>
  <sheetData>
    <row r="1" spans="2:5" ht="13.5" thickBot="1">
      <c r="B1" s="68" t="s">
        <v>55</v>
      </c>
      <c r="C1" s="69"/>
      <c r="D1" s="68" t="s">
        <v>56</v>
      </c>
      <c r="E1" s="69"/>
    </row>
    <row r="2" spans="1:5" ht="12.75">
      <c r="A2" s="70" t="s">
        <v>57</v>
      </c>
      <c r="B2" s="71">
        <v>2.7</v>
      </c>
      <c r="C2" s="72">
        <v>4.8</v>
      </c>
      <c r="D2" s="71">
        <v>2.7</v>
      </c>
      <c r="E2" s="72">
        <v>4.8</v>
      </c>
    </row>
    <row r="3" spans="1:5" ht="15">
      <c r="A3" s="73" t="s">
        <v>58</v>
      </c>
      <c r="B3" s="74">
        <v>-70</v>
      </c>
      <c r="C3" s="75">
        <v>-70</v>
      </c>
      <c r="D3" s="74">
        <v>-70</v>
      </c>
      <c r="E3" s="75">
        <v>-70</v>
      </c>
    </row>
    <row r="4" spans="1:5" ht="15">
      <c r="A4" s="76" t="s">
        <v>59</v>
      </c>
      <c r="B4" s="77">
        <v>10</v>
      </c>
      <c r="C4" s="78">
        <f>B4</f>
        <v>10</v>
      </c>
      <c r="D4" s="77">
        <f>C4</f>
        <v>10</v>
      </c>
      <c r="E4" s="78">
        <f>D4</f>
        <v>10</v>
      </c>
    </row>
    <row r="5" spans="1:5" ht="12.75">
      <c r="A5" s="79" t="s">
        <v>60</v>
      </c>
      <c r="B5" s="80">
        <v>-187</v>
      </c>
      <c r="C5" s="81">
        <v>-187</v>
      </c>
      <c r="D5" s="80">
        <v>-175</v>
      </c>
      <c r="E5" s="81">
        <v>-175</v>
      </c>
    </row>
    <row r="6" spans="1:5" ht="12.75">
      <c r="A6" s="79" t="s">
        <v>61</v>
      </c>
      <c r="B6" s="82">
        <f>B3-B4-B5</f>
        <v>107</v>
      </c>
      <c r="C6" s="83">
        <f>C3-C4-C5</f>
        <v>107</v>
      </c>
      <c r="D6" s="82">
        <f>D3-D4-D5</f>
        <v>95</v>
      </c>
      <c r="E6" s="83">
        <f>E3-E4-E5</f>
        <v>95</v>
      </c>
    </row>
    <row r="7" spans="1:5" ht="15.75" thickBot="1">
      <c r="A7" s="84" t="s">
        <v>62</v>
      </c>
      <c r="B7" s="85">
        <f>10^((B6-32.5-20*LOG(B2))/20)</f>
        <v>1966.238682336996</v>
      </c>
      <c r="C7" s="86">
        <f>10^((C6-32.5-20*LOG(C2))/20)</f>
        <v>1106.0092588145606</v>
      </c>
      <c r="D7" s="85">
        <f>10^((D6-32.5-20*LOG(D2))/20)</f>
        <v>493.8968267271573</v>
      </c>
      <c r="E7" s="86">
        <f>10^((E6-32.5-20*LOG(E2))/20)</f>
        <v>277.81696503402605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3" sqref="C13"/>
    </sheetView>
  </sheetViews>
  <sheetFormatPr defaultColWidth="9.140625" defaultRowHeight="12.75"/>
  <cols>
    <col min="1" max="1" width="40.00390625" style="0" bestFit="1" customWidth="1"/>
    <col min="2" max="2" width="20.00390625" style="0" bestFit="1" customWidth="1"/>
    <col min="3" max="3" width="6.00390625" style="0" bestFit="1" customWidth="1"/>
    <col min="4" max="4" width="21.57421875" style="0" bestFit="1" customWidth="1"/>
    <col min="5" max="5" width="5.57421875" style="0" bestFit="1" customWidth="1"/>
  </cols>
  <sheetData>
    <row r="1" spans="2:5" ht="13.5" thickBot="1">
      <c r="B1" s="68" t="s">
        <v>55</v>
      </c>
      <c r="C1" s="69"/>
      <c r="D1" s="68" t="s">
        <v>56</v>
      </c>
      <c r="E1" s="69"/>
    </row>
    <row r="2" spans="1:5" ht="12.75">
      <c r="A2" s="70" t="s">
        <v>57</v>
      </c>
      <c r="B2" s="71">
        <v>2.7</v>
      </c>
      <c r="C2" s="72">
        <v>4.8</v>
      </c>
      <c r="D2" s="71">
        <v>2.7</v>
      </c>
      <c r="E2" s="72">
        <v>4.8</v>
      </c>
    </row>
    <row r="3" spans="1:5" ht="15">
      <c r="A3" s="73" t="s">
        <v>58</v>
      </c>
      <c r="B3" s="74">
        <v>-55</v>
      </c>
      <c r="C3" s="75">
        <v>-55</v>
      </c>
      <c r="D3" s="74">
        <v>-55</v>
      </c>
      <c r="E3" s="75">
        <v>-55</v>
      </c>
    </row>
    <row r="4" spans="1:5" ht="15">
      <c r="A4" s="76" t="s">
        <v>59</v>
      </c>
      <c r="B4" s="77">
        <v>21.1</v>
      </c>
      <c r="C4" s="78">
        <f>B4</f>
        <v>21.1</v>
      </c>
      <c r="D4" s="77">
        <f>C4</f>
        <v>21.1</v>
      </c>
      <c r="E4" s="78">
        <f>D4</f>
        <v>21.1</v>
      </c>
    </row>
    <row r="5" spans="1:5" ht="12.75">
      <c r="A5" s="79" t="s">
        <v>60</v>
      </c>
      <c r="B5" s="80">
        <v>-187</v>
      </c>
      <c r="C5" s="81">
        <v>-187</v>
      </c>
      <c r="D5" s="80">
        <v>-175</v>
      </c>
      <c r="E5" s="81">
        <v>-175</v>
      </c>
    </row>
    <row r="6" spans="1:5" ht="12.75">
      <c r="A6" s="79" t="s">
        <v>61</v>
      </c>
      <c r="B6" s="82">
        <f>B3-B4-B5</f>
        <v>110.9</v>
      </c>
      <c r="C6" s="83">
        <f>C3-C4-C5</f>
        <v>110.9</v>
      </c>
      <c r="D6" s="82">
        <f>D3-D4-D5</f>
        <v>98.9</v>
      </c>
      <c r="E6" s="83">
        <f>E3-E4-E5</f>
        <v>98.9</v>
      </c>
    </row>
    <row r="7" spans="1:5" ht="15.75" thickBot="1">
      <c r="A7" s="84" t="s">
        <v>62</v>
      </c>
      <c r="B7" s="85">
        <f>10^((B6-32.5-20*LOG(B2))/20)</f>
        <v>3080.606559639525</v>
      </c>
      <c r="C7" s="86">
        <f>10^((C6-32.5-20*LOG(C2))/20)</f>
        <v>1732.8411897972348</v>
      </c>
      <c r="D7" s="85">
        <f>10^((D6-32.5-20*LOG(D2))/20)</f>
        <v>773.8133817977935</v>
      </c>
      <c r="E7" s="86">
        <f>10^((E6-32.5-20*LOG(E2))/20)</f>
        <v>435.2700272612589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7" sqref="B17"/>
    </sheetView>
  </sheetViews>
  <sheetFormatPr defaultColWidth="9.140625" defaultRowHeight="12.75"/>
  <cols>
    <col min="1" max="1" width="18.421875" style="0" bestFit="1" customWidth="1"/>
    <col min="2" max="2" width="9.57421875" style="0" bestFit="1" customWidth="1"/>
    <col min="3" max="5" width="9.421875" style="0" bestFit="1" customWidth="1"/>
  </cols>
  <sheetData>
    <row r="1" spans="1:5" ht="12.75">
      <c r="A1" s="70" t="s">
        <v>63</v>
      </c>
      <c r="B1" s="87">
        <v>2690</v>
      </c>
      <c r="C1" s="87">
        <v>2690</v>
      </c>
      <c r="D1" s="87">
        <v>2690</v>
      </c>
      <c r="E1" s="87">
        <v>2690</v>
      </c>
    </row>
    <row r="2" spans="1:5" ht="12.75">
      <c r="A2" s="79" t="s">
        <v>64</v>
      </c>
      <c r="B2" s="88">
        <f>300000000/(B1*1000000)</f>
        <v>0.11152416356877323</v>
      </c>
      <c r="C2" s="88">
        <f>300000000/(C1*1000000)</f>
        <v>0.11152416356877323</v>
      </c>
      <c r="D2" s="88">
        <f>300000000/(D1*1000000)</f>
        <v>0.11152416356877323</v>
      </c>
      <c r="E2" s="88">
        <f>300000000/(E1*1000000)</f>
        <v>0.11152416356877323</v>
      </c>
    </row>
    <row r="3" spans="1:5" ht="14.25">
      <c r="A3" s="89" t="s">
        <v>65</v>
      </c>
      <c r="B3" s="90">
        <v>-40</v>
      </c>
      <c r="C3" s="90">
        <v>-45</v>
      </c>
      <c r="D3" s="90">
        <v>-50</v>
      </c>
      <c r="E3" s="90">
        <v>-55</v>
      </c>
    </row>
    <row r="4" spans="1:5" ht="15">
      <c r="A4" s="91" t="s">
        <v>66</v>
      </c>
      <c r="B4" s="92">
        <v>27.4</v>
      </c>
      <c r="C4" s="92">
        <f>B4</f>
        <v>27.4</v>
      </c>
      <c r="D4" s="92">
        <f>C4</f>
        <v>27.4</v>
      </c>
      <c r="E4" s="92">
        <f>D4</f>
        <v>27.4</v>
      </c>
    </row>
    <row r="5" spans="1:5" ht="42.75">
      <c r="A5" s="93" t="s">
        <v>67</v>
      </c>
      <c r="B5" s="94">
        <f>B3-B4</f>
        <v>-67.4</v>
      </c>
      <c r="C5" s="94">
        <f>C3-C4</f>
        <v>-72.4</v>
      </c>
      <c r="D5" s="94">
        <f>D3-D4</f>
        <v>-77.4</v>
      </c>
      <c r="E5" s="94">
        <f>E3-E4</f>
        <v>-82.4</v>
      </c>
    </row>
    <row r="6" spans="1:5" ht="14.25">
      <c r="A6" s="95" t="s">
        <v>68</v>
      </c>
      <c r="B6" s="96">
        <f>0.001*10^(B5/10)</f>
        <v>1.8197008586099812E-10</v>
      </c>
      <c r="C6" s="96">
        <f>0.001*10^(C5/10)</f>
        <v>5.754399373371559E-11</v>
      </c>
      <c r="D6" s="96">
        <f>0.001*10^(D5/10)</f>
        <v>1.8197008586099822E-11</v>
      </c>
      <c r="E6" s="96">
        <f>0.001*10^(E5/10)</f>
        <v>5.754399373371552E-12</v>
      </c>
    </row>
    <row r="7" spans="1:5" ht="12.75">
      <c r="A7" s="79" t="s">
        <v>69</v>
      </c>
      <c r="B7" s="63">
        <v>0</v>
      </c>
      <c r="C7" s="63">
        <v>0</v>
      </c>
      <c r="D7" s="63">
        <v>0</v>
      </c>
      <c r="E7" s="63">
        <v>0</v>
      </c>
    </row>
    <row r="8" spans="1:5" ht="12.75">
      <c r="A8" s="79" t="s">
        <v>70</v>
      </c>
      <c r="B8" s="60">
        <f>10^(B7/10)</f>
        <v>1</v>
      </c>
      <c r="C8" s="60">
        <f>10^(C7/10)</f>
        <v>1</v>
      </c>
      <c r="D8" s="60">
        <f>10^(D7/10)</f>
        <v>1</v>
      </c>
      <c r="E8" s="60">
        <f>10^(E7/10)</f>
        <v>1</v>
      </c>
    </row>
    <row r="9" spans="1:5" ht="12.75">
      <c r="A9" s="79" t="s">
        <v>71</v>
      </c>
      <c r="B9" s="97">
        <v>0.004</v>
      </c>
      <c r="C9" s="97">
        <f>B9</f>
        <v>0.004</v>
      </c>
      <c r="D9" s="97">
        <f>C9</f>
        <v>0.004</v>
      </c>
      <c r="E9" s="97">
        <f>D9</f>
        <v>0.004</v>
      </c>
    </row>
    <row r="10" spans="1:5" ht="12.75">
      <c r="A10" s="79" t="s">
        <v>72</v>
      </c>
      <c r="B10" s="98">
        <f>B9/1000000</f>
        <v>4E-09</v>
      </c>
      <c r="C10" s="98">
        <f>C9/1000000</f>
        <v>4E-09</v>
      </c>
      <c r="D10" s="98">
        <f>D9/1000000</f>
        <v>4E-09</v>
      </c>
      <c r="E10" s="98">
        <f>E9/1000000</f>
        <v>4E-09</v>
      </c>
    </row>
    <row r="11" spans="1:5" ht="12.75">
      <c r="A11" s="79" t="s">
        <v>73</v>
      </c>
      <c r="B11" s="63">
        <v>30000</v>
      </c>
      <c r="C11" s="63">
        <v>30000</v>
      </c>
      <c r="D11" s="63">
        <v>30000</v>
      </c>
      <c r="E11" s="63">
        <v>30000</v>
      </c>
    </row>
    <row r="12" spans="1:5" ht="12.75">
      <c r="A12" s="79" t="s">
        <v>74</v>
      </c>
      <c r="B12" s="99">
        <v>0</v>
      </c>
      <c r="C12" s="99">
        <v>0</v>
      </c>
      <c r="D12" s="99">
        <v>0</v>
      </c>
      <c r="E12" s="99">
        <v>0</v>
      </c>
    </row>
    <row r="13" spans="1:5" ht="12.75">
      <c r="A13" s="79" t="s">
        <v>75</v>
      </c>
      <c r="B13" s="60">
        <f>10^(B12/10)</f>
        <v>1</v>
      </c>
      <c r="C13" s="60">
        <f>10^(C12/10)</f>
        <v>1</v>
      </c>
      <c r="D13" s="60">
        <f>10^(D12/10)</f>
        <v>1</v>
      </c>
      <c r="E13" s="60">
        <f>10^(E12/10)</f>
        <v>1</v>
      </c>
    </row>
    <row r="14" spans="1:5" ht="12.75">
      <c r="A14" s="79" t="s">
        <v>76</v>
      </c>
      <c r="B14" s="61">
        <f>B6*B8*B13*(B2/(4*PI()))^2</f>
        <v>1.4332376934951794E-14</v>
      </c>
      <c r="C14" s="61">
        <f>C6*C8*C13*(C2/(4*PI()))^2</f>
        <v>4.532295539851058E-15</v>
      </c>
      <c r="D14" s="61">
        <f>D6*D8*D13*(D2/(4*PI()))^2</f>
        <v>1.4332376934951802E-15</v>
      </c>
      <c r="E14" s="61">
        <f>E6*E8*E13*(E2/(4*PI()))^2</f>
        <v>4.532295539851053E-16</v>
      </c>
    </row>
    <row r="15" spans="1:5" ht="12.75">
      <c r="A15" s="79" t="s">
        <v>50</v>
      </c>
      <c r="B15" s="60">
        <v>-187</v>
      </c>
      <c r="C15" s="60">
        <v>-187</v>
      </c>
      <c r="D15" s="60">
        <v>-187</v>
      </c>
      <c r="E15" s="60">
        <v>-187</v>
      </c>
    </row>
    <row r="16" spans="1:5" ht="12.75">
      <c r="A16" s="79" t="s">
        <v>77</v>
      </c>
      <c r="B16" s="61">
        <f>0.001*10^(B15/10)</f>
        <v>1.9952623149688817E-22</v>
      </c>
      <c r="C16" s="61">
        <f>0.001*10^(C15/10)</f>
        <v>1.9952623149688817E-22</v>
      </c>
      <c r="D16" s="61">
        <f>0.001*10^(D15/10)</f>
        <v>1.9952623149688817E-22</v>
      </c>
      <c r="E16" s="61">
        <f>0.001*10^(E15/10)</f>
        <v>1.9952623149688817E-22</v>
      </c>
    </row>
    <row r="17" spans="1:5" ht="45.75" thickBot="1">
      <c r="A17" s="100" t="s">
        <v>78</v>
      </c>
      <c r="B17" s="101">
        <f>B11/EXP(B16/(2*PI()*B14*B10))</f>
        <v>17240.890571684577</v>
      </c>
      <c r="C17" s="101">
        <f>C11/EXP(C16/(2*PI()*C14*C10))</f>
        <v>5204.737247211994</v>
      </c>
      <c r="D17" s="101">
        <f>D11/EXP(D16/(2*PI()*D14*D10))</f>
        <v>117.8977892065993</v>
      </c>
      <c r="E17" s="101">
        <f>E11/EXP(E16/(2*PI()*E14*E10))</f>
        <v>0.0007411341154906885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6" sqref="A16"/>
    </sheetView>
  </sheetViews>
  <sheetFormatPr defaultColWidth="9.140625" defaultRowHeight="12.75"/>
  <cols>
    <col min="1" max="1" width="18.421875" style="0" bestFit="1" customWidth="1"/>
    <col min="2" max="2" width="9.57421875" style="0" bestFit="1" customWidth="1"/>
    <col min="3" max="5" width="9.421875" style="0" bestFit="1" customWidth="1"/>
  </cols>
  <sheetData>
    <row r="1" spans="1:5" ht="12.75">
      <c r="A1" s="70" t="s">
        <v>63</v>
      </c>
      <c r="B1" s="87">
        <v>2690</v>
      </c>
      <c r="C1" s="102">
        <v>2690</v>
      </c>
      <c r="D1" s="87">
        <v>2690</v>
      </c>
      <c r="E1" s="103">
        <v>2690</v>
      </c>
    </row>
    <row r="2" spans="1:5" ht="12.75">
      <c r="A2" s="79" t="s">
        <v>64</v>
      </c>
      <c r="B2" s="88">
        <f>300000000/(B1*1000000)</f>
        <v>0.11152416356877323</v>
      </c>
      <c r="C2" s="104">
        <f>300000000/(C1*1000000)</f>
        <v>0.11152416356877323</v>
      </c>
      <c r="D2" s="88">
        <f>300000000/(D1*1000000)</f>
        <v>0.11152416356877323</v>
      </c>
      <c r="E2" s="105">
        <f>300000000/(E1*1000000)</f>
        <v>0.11152416356877323</v>
      </c>
    </row>
    <row r="3" spans="1:5" ht="14.25">
      <c r="A3" s="89" t="s">
        <v>65</v>
      </c>
      <c r="B3" s="90">
        <v>-41</v>
      </c>
      <c r="C3" s="106">
        <v>-45</v>
      </c>
      <c r="D3" s="90">
        <v>-50</v>
      </c>
      <c r="E3" s="107">
        <v>-55</v>
      </c>
    </row>
    <row r="4" spans="1:5" ht="15">
      <c r="A4" s="91" t="s">
        <v>66</v>
      </c>
      <c r="B4" s="92">
        <v>28.5</v>
      </c>
      <c r="C4" s="92">
        <f>B4</f>
        <v>28.5</v>
      </c>
      <c r="D4" s="92">
        <f>C4</f>
        <v>28.5</v>
      </c>
      <c r="E4" s="92">
        <f>D4</f>
        <v>28.5</v>
      </c>
    </row>
    <row r="5" spans="1:5" ht="42.75">
      <c r="A5" s="93" t="s">
        <v>67</v>
      </c>
      <c r="B5" s="94">
        <f>B3-B4</f>
        <v>-69.5</v>
      </c>
      <c r="C5" s="94">
        <f>C3-C4</f>
        <v>-73.5</v>
      </c>
      <c r="D5" s="94">
        <f>D3-D4</f>
        <v>-78.5</v>
      </c>
      <c r="E5" s="94">
        <f>E3-E4</f>
        <v>-83.5</v>
      </c>
    </row>
    <row r="6" spans="1:5" ht="14.25">
      <c r="A6" s="95" t="s">
        <v>68</v>
      </c>
      <c r="B6" s="96">
        <f>0.001*10^(B5/10)</f>
        <v>1.1220184543019621E-10</v>
      </c>
      <c r="C6" s="108">
        <f>0.001*10^(C5/10)</f>
        <v>4.466835921509628E-11</v>
      </c>
      <c r="D6" s="96">
        <f>0.001*10^(D5/10)</f>
        <v>1.4125375446227547E-11</v>
      </c>
      <c r="E6" s="109">
        <f>0.001*10^(E5/10)</f>
        <v>4.466835921509622E-12</v>
      </c>
    </row>
    <row r="7" spans="1:5" ht="12.75">
      <c r="A7" s="79" t="s">
        <v>69</v>
      </c>
      <c r="B7" s="63">
        <v>0</v>
      </c>
      <c r="C7" s="110">
        <v>0</v>
      </c>
      <c r="D7" s="63">
        <v>0</v>
      </c>
      <c r="E7" s="111">
        <v>0</v>
      </c>
    </row>
    <row r="8" spans="1:5" ht="12.75">
      <c r="A8" s="79" t="s">
        <v>70</v>
      </c>
      <c r="B8" s="60">
        <f>10^(B7/10)</f>
        <v>1</v>
      </c>
      <c r="C8" s="112">
        <f>10^(C7/10)</f>
        <v>1</v>
      </c>
      <c r="D8" s="60">
        <f>10^(D7/10)</f>
        <v>1</v>
      </c>
      <c r="E8" s="113">
        <f>10^(E7/10)</f>
        <v>1</v>
      </c>
    </row>
    <row r="9" spans="1:5" ht="12.75">
      <c r="A9" s="79" t="s">
        <v>71</v>
      </c>
      <c r="B9" s="97">
        <v>0.004</v>
      </c>
      <c r="C9" s="97">
        <f>B9</f>
        <v>0.004</v>
      </c>
      <c r="D9" s="97">
        <f>C9</f>
        <v>0.004</v>
      </c>
      <c r="E9" s="97">
        <f>D9</f>
        <v>0.004</v>
      </c>
    </row>
    <row r="10" spans="1:5" ht="12.75">
      <c r="A10" s="79" t="s">
        <v>72</v>
      </c>
      <c r="B10" s="98">
        <f>B9/1000000</f>
        <v>4E-09</v>
      </c>
      <c r="C10" s="114">
        <f>C9/1000000</f>
        <v>4E-09</v>
      </c>
      <c r="D10" s="98">
        <f>D9/1000000</f>
        <v>4E-09</v>
      </c>
      <c r="E10" s="115">
        <f>E9/1000000</f>
        <v>4E-09</v>
      </c>
    </row>
    <row r="11" spans="1:5" ht="12.75">
      <c r="A11" s="79" t="s">
        <v>73</v>
      </c>
      <c r="B11" s="63">
        <v>30000</v>
      </c>
      <c r="C11" s="110">
        <v>30000</v>
      </c>
      <c r="D11" s="63">
        <v>30000</v>
      </c>
      <c r="E11" s="111">
        <v>30000</v>
      </c>
    </row>
    <row r="12" spans="1:5" ht="12.75">
      <c r="A12" s="79" t="s">
        <v>74</v>
      </c>
      <c r="B12" s="99">
        <v>0</v>
      </c>
      <c r="C12" s="116">
        <v>0</v>
      </c>
      <c r="D12" s="99">
        <v>0</v>
      </c>
      <c r="E12" s="117">
        <v>0</v>
      </c>
    </row>
    <row r="13" spans="1:5" ht="12.75">
      <c r="A13" s="79" t="s">
        <v>75</v>
      </c>
      <c r="B13" s="60">
        <f>10^(B12/10)</f>
        <v>1</v>
      </c>
      <c r="C13" s="112">
        <f>10^(C12/10)</f>
        <v>1</v>
      </c>
      <c r="D13" s="60">
        <f>10^(D12/10)</f>
        <v>1</v>
      </c>
      <c r="E13" s="113">
        <f>10^(E12/10)</f>
        <v>1</v>
      </c>
    </row>
    <row r="14" spans="1:5" ht="12.75">
      <c r="A14" s="79" t="s">
        <v>76</v>
      </c>
      <c r="B14" s="61">
        <f>B6*B8*B13*(B2/(4*PI()))^2</f>
        <v>8.837271982886066E-15</v>
      </c>
      <c r="C14" s="118">
        <f>C6*C8*C13*(C2/(4*PI()))^2</f>
        <v>3.5181813445184675E-15</v>
      </c>
      <c r="D14" s="61">
        <f>D6*D8*D13*(D2/(4*PI()))^2</f>
        <v>1.1125466270191914E-15</v>
      </c>
      <c r="E14" s="119">
        <f>E6*E8*E13*(E2/(4*PI()))^2</f>
        <v>3.5181813445184625E-16</v>
      </c>
    </row>
    <row r="15" spans="1:5" ht="12.75">
      <c r="A15" s="79" t="s">
        <v>50</v>
      </c>
      <c r="B15" s="60">
        <v>-187</v>
      </c>
      <c r="C15" s="112">
        <v>-187</v>
      </c>
      <c r="D15" s="60">
        <v>-187</v>
      </c>
      <c r="E15" s="113">
        <v>-187</v>
      </c>
    </row>
    <row r="16" spans="1:5" ht="12.75">
      <c r="A16" s="79" t="s">
        <v>77</v>
      </c>
      <c r="B16" s="61">
        <f>0.001*10^(B15/10)</f>
        <v>1.9952623149688817E-22</v>
      </c>
      <c r="C16" s="118">
        <f>0.001*10^(C15/10)</f>
        <v>1.9952623149688817E-22</v>
      </c>
      <c r="D16" s="61">
        <f>0.001*10^(D15/10)</f>
        <v>1.9952623149688817E-22</v>
      </c>
      <c r="E16" s="119">
        <f>0.001*10^(E15/10)</f>
        <v>1.9952623149688817E-22</v>
      </c>
    </row>
    <row r="17" spans="1:5" ht="45.75" thickBot="1">
      <c r="A17" s="100" t="s">
        <v>78</v>
      </c>
      <c r="B17" s="101">
        <f>B11/EXP(B16/(2*PI()*B14*B10))</f>
        <v>12217.323925662815</v>
      </c>
      <c r="C17" s="101">
        <f>C11/EXP(C16/(2*PI()*C14*C10))</f>
        <v>3141.38312185671</v>
      </c>
      <c r="D17" s="101">
        <f>D11/EXP(D16/(2*PI()*D14*D10))</f>
        <v>23.882954158785992</v>
      </c>
      <c r="E17" s="101">
        <f>E11/EXP(E16/(2*PI()*E14*E10))</f>
        <v>4.7546414010264875E-06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0" sqref="C20"/>
    </sheetView>
  </sheetViews>
  <sheetFormatPr defaultColWidth="9.140625" defaultRowHeight="12.75"/>
  <cols>
    <col min="1" max="1" width="18.421875" style="0" bestFit="1" customWidth="1"/>
    <col min="2" max="5" width="9.421875" style="0" bestFit="1" customWidth="1"/>
  </cols>
  <sheetData>
    <row r="1" spans="1:5" ht="13.5" thickBot="1">
      <c r="A1" s="120"/>
      <c r="B1" s="121" t="s">
        <v>79</v>
      </c>
      <c r="C1" s="121" t="s">
        <v>80</v>
      </c>
      <c r="D1" s="121" t="s">
        <v>1</v>
      </c>
      <c r="E1" s="122" t="s">
        <v>81</v>
      </c>
    </row>
    <row r="2" spans="1:5" ht="12.75">
      <c r="A2" s="70" t="s">
        <v>63</v>
      </c>
      <c r="B2" s="87">
        <v>2690</v>
      </c>
      <c r="C2" s="102">
        <v>2690</v>
      </c>
      <c r="D2" s="87">
        <v>2690</v>
      </c>
      <c r="E2" s="103">
        <v>2690</v>
      </c>
    </row>
    <row r="3" spans="1:5" ht="12.75">
      <c r="A3" s="79" t="s">
        <v>64</v>
      </c>
      <c r="B3" s="88">
        <f>300000000/(B2*1000000)</f>
        <v>0.11152416356877323</v>
      </c>
      <c r="C3" s="104">
        <f>300000000/(C2*1000000)</f>
        <v>0.11152416356877323</v>
      </c>
      <c r="D3" s="88">
        <f>300000000/(D2*1000000)</f>
        <v>0.11152416356877323</v>
      </c>
      <c r="E3" s="105">
        <f>300000000/(E2*1000000)</f>
        <v>0.11152416356877323</v>
      </c>
    </row>
    <row r="4" spans="1:5" ht="14.25">
      <c r="A4" s="89" t="s">
        <v>65</v>
      </c>
      <c r="B4" s="90">
        <v>-85</v>
      </c>
      <c r="C4" s="106">
        <v>-55</v>
      </c>
      <c r="D4" s="90">
        <v>-55</v>
      </c>
      <c r="E4" s="107">
        <v>-55</v>
      </c>
    </row>
    <row r="5" spans="1:5" ht="15">
      <c r="A5" s="91" t="s">
        <v>82</v>
      </c>
      <c r="B5" s="92">
        <v>10</v>
      </c>
      <c r="C5" s="92">
        <v>28.5</v>
      </c>
      <c r="D5" s="92">
        <v>28.5</v>
      </c>
      <c r="E5" s="92">
        <v>27.4</v>
      </c>
    </row>
    <row r="6" spans="1:5" ht="42.75">
      <c r="A6" s="93" t="s">
        <v>67</v>
      </c>
      <c r="B6" s="94">
        <f>B4-B5</f>
        <v>-95</v>
      </c>
      <c r="C6" s="94">
        <f>C4-C5</f>
        <v>-83.5</v>
      </c>
      <c r="D6" s="94">
        <f>D4-D5</f>
        <v>-83.5</v>
      </c>
      <c r="E6" s="94">
        <f>E4-E5</f>
        <v>-82.4</v>
      </c>
    </row>
    <row r="7" spans="1:5" ht="14.25">
      <c r="A7" s="95" t="s">
        <v>68</v>
      </c>
      <c r="B7" s="96">
        <f>0.001*10^(B6/10)</f>
        <v>3.1622776601683746E-13</v>
      </c>
      <c r="C7" s="108">
        <f>0.001*10^(C6/10)</f>
        <v>4.466835921509622E-12</v>
      </c>
      <c r="D7" s="96">
        <f>0.001*10^(D6/10)</f>
        <v>4.466835921509622E-12</v>
      </c>
      <c r="E7" s="109">
        <f>0.001*10^(E6/10)</f>
        <v>5.754399373371552E-12</v>
      </c>
    </row>
    <row r="8" spans="1:5" ht="12.75">
      <c r="A8" s="79" t="s">
        <v>69</v>
      </c>
      <c r="B8" s="63">
        <v>0</v>
      </c>
      <c r="C8" s="110">
        <v>0</v>
      </c>
      <c r="D8" s="63">
        <v>0</v>
      </c>
      <c r="E8" s="111">
        <v>0</v>
      </c>
    </row>
    <row r="9" spans="1:5" ht="12.75">
      <c r="A9" s="79" t="s">
        <v>70</v>
      </c>
      <c r="B9" s="60">
        <f>10^(B8/10)</f>
        <v>1</v>
      </c>
      <c r="C9" s="112">
        <f>10^(C8/10)</f>
        <v>1</v>
      </c>
      <c r="D9" s="60">
        <f>10^(D8/10)</f>
        <v>1</v>
      </c>
      <c r="E9" s="113">
        <f>10^(E8/10)</f>
        <v>1</v>
      </c>
    </row>
    <row r="10" spans="1:5" ht="12.75">
      <c r="A10" s="79" t="s">
        <v>71</v>
      </c>
      <c r="B10" s="123">
        <f>100*0.01</f>
        <v>1</v>
      </c>
      <c r="C10" s="123">
        <f>0.052*0.0028</f>
        <v>0.0001456</v>
      </c>
      <c r="D10" s="123">
        <f>0.22*0.006</f>
        <v>0.00132</v>
      </c>
      <c r="E10" s="123">
        <f>0.06*0.05</f>
        <v>0.003</v>
      </c>
    </row>
    <row r="11" spans="1:5" ht="12.75">
      <c r="A11" s="79" t="s">
        <v>72</v>
      </c>
      <c r="B11" s="98">
        <f>B10/1000000</f>
        <v>1E-06</v>
      </c>
      <c r="C11" s="114">
        <f>C10/1000000</f>
        <v>1.456E-10</v>
      </c>
      <c r="D11" s="98">
        <f>D10/1000000</f>
        <v>1.32E-09</v>
      </c>
      <c r="E11" s="115">
        <f>E10/1000000</f>
        <v>3E-09</v>
      </c>
    </row>
    <row r="12" spans="1:5" ht="12.75">
      <c r="A12" s="79" t="s">
        <v>73</v>
      </c>
      <c r="B12" s="63">
        <v>30000</v>
      </c>
      <c r="C12" s="110">
        <v>30000</v>
      </c>
      <c r="D12" s="63">
        <v>30000</v>
      </c>
      <c r="E12" s="111">
        <v>30000</v>
      </c>
    </row>
    <row r="13" spans="1:5" ht="12.75">
      <c r="A13" s="79" t="s">
        <v>74</v>
      </c>
      <c r="B13" s="99">
        <v>0</v>
      </c>
      <c r="C13" s="116">
        <v>0</v>
      </c>
      <c r="D13" s="99">
        <v>0</v>
      </c>
      <c r="E13" s="117">
        <v>0</v>
      </c>
    </row>
    <row r="14" spans="1:5" ht="12.75">
      <c r="A14" s="79" t="s">
        <v>75</v>
      </c>
      <c r="B14" s="60">
        <f>10^(B13/10)</f>
        <v>1</v>
      </c>
      <c r="C14" s="112">
        <f>10^(C13/10)</f>
        <v>1</v>
      </c>
      <c r="D14" s="60">
        <f>10^(D13/10)</f>
        <v>1</v>
      </c>
      <c r="E14" s="113">
        <f>10^(E13/10)</f>
        <v>1</v>
      </c>
    </row>
    <row r="15" spans="1:5" ht="12.75">
      <c r="A15" s="79" t="s">
        <v>76</v>
      </c>
      <c r="B15" s="61">
        <f>B7*B9*B14*(B3/(4*PI()))^2</f>
        <v>2.4906816515507655E-17</v>
      </c>
      <c r="C15" s="118">
        <f>C7*C9*C14*(C3/(4*PI()))^2</f>
        <v>3.5181813445184625E-16</v>
      </c>
      <c r="D15" s="61">
        <f>D7*D9*D14*(D3/(4*PI()))^2</f>
        <v>3.5181813445184625E-16</v>
      </c>
      <c r="E15" s="119">
        <f>E7*E9*E14*(E3/(4*PI()))^2</f>
        <v>4.532295539851053E-16</v>
      </c>
    </row>
    <row r="16" spans="1:5" ht="12.75">
      <c r="A16" s="79" t="s">
        <v>50</v>
      </c>
      <c r="B16" s="60">
        <v>-187</v>
      </c>
      <c r="C16" s="112">
        <v>-187</v>
      </c>
      <c r="D16" s="60">
        <v>-187</v>
      </c>
      <c r="E16" s="113">
        <v>-187</v>
      </c>
    </row>
    <row r="17" spans="1:5" ht="12.75">
      <c r="A17" s="79" t="s">
        <v>77</v>
      </c>
      <c r="B17" s="61">
        <f>0.001*10^(B16/10)</f>
        <v>1.9952623149688817E-22</v>
      </c>
      <c r="C17" s="118">
        <f>0.001*10^(C16/10)</f>
        <v>1.9952623149688817E-22</v>
      </c>
      <c r="D17" s="61">
        <f>0.001*10^(D16/10)</f>
        <v>1.9952623149688817E-22</v>
      </c>
      <c r="E17" s="119">
        <f>0.001*10^(E16/10)</f>
        <v>1.9952623149688817E-22</v>
      </c>
    </row>
    <row r="18" spans="1:5" ht="75.75" thickBot="1">
      <c r="A18" s="100" t="s">
        <v>83</v>
      </c>
      <c r="B18" s="101">
        <f>B12/EXP(B17/(2*PI()*B15*B11))</f>
        <v>8383.132687786043</v>
      </c>
      <c r="C18" s="101">
        <f>C12/EXP(C17/(2*PI()*C15*C11))</f>
        <v>1.7630158860682793E-265</v>
      </c>
      <c r="D18" s="101">
        <f>D12/EXP(D17/(2*PI()*D15*D11))</f>
        <v>6.02755234917276E-26</v>
      </c>
      <c r="E18" s="101">
        <f>E12/EXP(E17/(2*PI()*E15*E11))</f>
        <v>2.1585162458581347E-06</v>
      </c>
    </row>
    <row r="19" spans="1:5" ht="60.75" thickBot="1">
      <c r="A19" s="124"/>
      <c r="B19" s="125"/>
      <c r="C19" s="126" t="s">
        <v>84</v>
      </c>
      <c r="D19" s="127" t="s">
        <v>85</v>
      </c>
      <c r="E19" s="127" t="s">
        <v>86</v>
      </c>
    </row>
    <row r="20" spans="1:5" ht="15.75" thickBot="1">
      <c r="A20" s="128" t="s">
        <v>87</v>
      </c>
      <c r="B20" s="129"/>
      <c r="C20" s="101">
        <f>C12/EXP(B17/(2*PI()*(B15*B11+C15*C11)))</f>
        <v>8405.09842098919</v>
      </c>
      <c r="D20" s="130">
        <f>D12/EXP(C17/(2*PI()*(B15*B11+C15*C11+D15*D11)))</f>
        <v>8602.742668444187</v>
      </c>
      <c r="E20" s="130">
        <f>E12/EXP(D17/(2*PI()*(B15*B11+C15*C11+D15*D11+E15*E11)))</f>
        <v>9165.961940019013</v>
      </c>
    </row>
  </sheetData>
  <mergeCells count="1">
    <mergeCell ref="A20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Kermoal (ERO)</dc:creator>
  <cp:keywords/>
  <dc:description/>
  <cp:lastModifiedBy>Jean-Philippe Kermoal (ERO)</cp:lastModifiedBy>
  <dcterms:created xsi:type="dcterms:W3CDTF">2008-09-17T12:03:08Z</dcterms:created>
  <dcterms:modified xsi:type="dcterms:W3CDTF">2008-09-17T12:55:55Z</dcterms:modified>
  <cp:category/>
  <cp:version/>
  <cp:contentType/>
  <cp:contentStatus/>
</cp:coreProperties>
</file>